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G:\Purchasing\Conflict Minerals &amp; REACH &amp; RoHS\Conflict Minerals CMRT\"/>
    </mc:Choice>
  </mc:AlternateContent>
  <xr:revisionPtr revIDLastSave="0" documentId="13_ncr:1_{AE714EA8-6C9B-4D72-AE2B-E5807C4C44C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V6" i="5"/>
  <c r="I6" i="5" s="1"/>
  <c r="J6" i="5"/>
  <c r="V7" i="5"/>
  <c r="G7" i="5" s="1"/>
  <c r="J7" i="5"/>
  <c r="V8" i="5"/>
  <c r="E8" i="5" s="1"/>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s="1"/>
  <c r="V10" i="5"/>
  <c r="F10" i="5" s="1"/>
  <c r="E10" i="5"/>
  <c r="X10" i="5" s="1"/>
  <c r="V11" i="5"/>
  <c r="R11" i="5" s="1"/>
  <c r="E11" i="5"/>
  <c r="X11" i="5" s="1"/>
  <c r="V12" i="5"/>
  <c r="I12" i="5" s="1"/>
  <c r="V13" i="5"/>
  <c r="J13" i="5" s="1"/>
  <c r="E13" i="5"/>
  <c r="X13" i="5" s="1"/>
  <c r="V14" i="5"/>
  <c r="I14" i="5" s="1"/>
  <c r="E14" i="5"/>
  <c r="X14" i="5" s="1"/>
  <c r="V15" i="5"/>
  <c r="F15" i="5" s="1"/>
  <c r="V16" i="5"/>
  <c r="E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4"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c r="B56" i="6"/>
  <c r="G56" i="6"/>
  <c r="B55" i="6"/>
  <c r="G55" i="6" s="1"/>
  <c r="B54" i="6"/>
  <c r="G54" i="6" s="1"/>
  <c r="B17" i="6"/>
  <c r="B16" i="6"/>
  <c r="B15" i="6"/>
  <c r="B14" i="6"/>
  <c r="H13" i="6"/>
  <c r="B12" i="6"/>
  <c r="G12" i="6" s="1"/>
  <c r="H12" i="6" s="1"/>
  <c r="D12" i="6" s="1"/>
  <c r="B11" i="6"/>
  <c r="G11" i="6"/>
  <c r="H11" i="6"/>
  <c r="D11" i="6"/>
  <c r="G10" i="6"/>
  <c r="H10" i="6" s="1"/>
  <c r="D10" i="6" s="1"/>
  <c r="B8" i="6"/>
  <c r="G8" i="6"/>
  <c r="H8" i="6" s="1"/>
  <c r="D8" i="6" s="1"/>
  <c r="B7" i="6"/>
  <c r="G7" i="6"/>
  <c r="H7" i="6"/>
  <c r="D7" i="6"/>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B47" i="4" s="1"/>
  <c r="A32" i="6" s="1"/>
  <c r="P46" i="4"/>
  <c r="B46" i="4" s="1"/>
  <c r="A31" i="6" s="1"/>
  <c r="P45" i="4"/>
  <c r="B45" i="4" s="1"/>
  <c r="A30" i="6" s="1"/>
  <c r="P44" i="4"/>
  <c r="P43" i="4"/>
  <c r="Q43" i="4" s="1"/>
  <c r="P41" i="4"/>
  <c r="B41" i="4" s="1"/>
  <c r="B53" i="4" s="1"/>
  <c r="A37" i="6" s="1"/>
  <c r="P40" i="4"/>
  <c r="B40" i="4" s="1"/>
  <c r="B70" i="4" s="1"/>
  <c r="A51" i="6" s="1"/>
  <c r="P39" i="4"/>
  <c r="P38" i="4"/>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21" i="6" s="1"/>
  <c r="D21"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G20" i="6" s="1"/>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H51" i="6" s="1"/>
  <c r="D51" i="6" s="1"/>
  <c r="G16" i="6"/>
  <c r="H16"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H46" i="6" s="1"/>
  <c r="D46" i="6" s="1"/>
  <c r="B52" i="6"/>
  <c r="G52" i="6" s="1"/>
  <c r="H52" i="6" s="1"/>
  <c r="D52" i="6" s="1"/>
  <c r="B37" i="6"/>
  <c r="G37" i="6"/>
  <c r="B42" i="6"/>
  <c r="G42" i="6"/>
  <c r="H42" i="6" s="1"/>
  <c r="D42" i="6" s="1"/>
  <c r="B35" i="6"/>
  <c r="G35" i="6"/>
  <c r="G32" i="6"/>
  <c r="H32" i="6" s="1"/>
  <c r="D32"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s="1"/>
  <c r="H2439" i="5"/>
  <c r="F2439" i="5"/>
  <c r="R2439" i="5"/>
  <c r="J2439" i="5"/>
  <c r="I2439" i="5"/>
  <c r="F2414" i="5"/>
  <c r="R2414" i="5"/>
  <c r="J2414" i="5"/>
  <c r="I2414" i="5"/>
  <c r="H2414" i="5"/>
  <c r="J2448" i="5"/>
  <c r="F2448" i="5"/>
  <c r="I2448" i="5"/>
  <c r="H2448" i="5"/>
  <c r="R2448" i="5"/>
  <c r="B27" i="6"/>
  <c r="G27" i="6"/>
  <c r="H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F47" i="6"/>
  <c r="F37" i="6"/>
  <c r="H37" i="6" s="1"/>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0" i="5"/>
  <c r="H17" i="5"/>
  <c r="I17" i="5"/>
  <c r="J17" i="5"/>
  <c r="R17" i="5"/>
  <c r="F17" i="5"/>
  <c r="R9" i="5"/>
  <c r="F9" i="5"/>
  <c r="R15" i="5"/>
  <c r="H11" i="5"/>
  <c r="S17" i="5"/>
  <c r="G64" i="6" a="1"/>
  <c r="X16" i="5" l="1"/>
  <c r="F16" i="5"/>
  <c r="J16" i="5"/>
  <c r="H16" i="5"/>
  <c r="I16" i="5"/>
  <c r="G15" i="5"/>
  <c r="E15" i="5"/>
  <c r="X15" i="5" s="1"/>
  <c r="I15" i="5"/>
  <c r="J15" i="5"/>
  <c r="H15" i="5"/>
  <c r="E12" i="5"/>
  <c r="X12" i="5" s="1"/>
  <c r="F14" i="5"/>
  <c r="H14" i="5"/>
  <c r="J14" i="5"/>
  <c r="R14" i="5"/>
  <c r="I13" i="5"/>
  <c r="R13" i="5"/>
  <c r="H13" i="5"/>
  <c r="F13" i="5"/>
  <c r="G13" i="5"/>
  <c r="F12" i="5"/>
  <c r="R12" i="5"/>
  <c r="G12" i="5"/>
  <c r="H12" i="5"/>
  <c r="J12" i="5"/>
  <c r="G11" i="5"/>
  <c r="I11" i="5"/>
  <c r="F11" i="5"/>
  <c r="J11" i="5"/>
  <c r="G10" i="5"/>
  <c r="H10" i="5"/>
  <c r="J10" i="5"/>
  <c r="R10" i="5"/>
  <c r="I9" i="5"/>
  <c r="J9" i="5"/>
  <c r="H9" i="5"/>
  <c r="X9" i="5"/>
  <c r="X8" i="5"/>
  <c r="F8" i="5"/>
  <c r="I8" i="5"/>
  <c r="H8" i="5"/>
  <c r="G8" i="5"/>
  <c r="R8" i="5"/>
  <c r="F7" i="5"/>
  <c r="H7" i="5"/>
  <c r="G65" i="6"/>
  <c r="E7" i="5"/>
  <c r="I7" i="5"/>
  <c r="R7" i="5"/>
  <c r="R6" i="5"/>
  <c r="G68" i="6"/>
  <c r="H68" i="6" s="1"/>
  <c r="D68" i="6" s="1"/>
  <c r="G67" i="6"/>
  <c r="E6" i="5"/>
  <c r="G6" i="5"/>
  <c r="F6" i="5"/>
  <c r="H6" i="5"/>
  <c r="F5" i="5"/>
  <c r="G66" i="6"/>
  <c r="R5" i="5"/>
  <c r="G69" i="6" a="1"/>
  <c r="G69" i="6" s="1"/>
  <c r="G5" i="5"/>
  <c r="I5" i="5"/>
  <c r="H5" i="5"/>
  <c r="E5" i="5"/>
  <c r="H36" i="6"/>
  <c r="D36" i="6" s="1"/>
  <c r="K67" i="6"/>
  <c r="B40" i="6"/>
  <c r="G40" i="6" s="1"/>
  <c r="B30" i="6"/>
  <c r="G30" i="6" s="1"/>
  <c r="C27" i="6"/>
  <c r="D27" i="6"/>
  <c r="H47" i="6"/>
  <c r="D47" i="6" s="1"/>
  <c r="C22" i="6"/>
  <c r="C32" i="6"/>
  <c r="K68" i="6"/>
  <c r="C37" i="6"/>
  <c r="C52" i="6"/>
  <c r="C47" i="6"/>
  <c r="C17" i="6"/>
  <c r="C42" i="6"/>
  <c r="B61" i="4"/>
  <c r="A43" i="6" s="1"/>
  <c r="B31" i="4"/>
  <c r="A18" i="6" s="1"/>
  <c r="B89" i="4"/>
  <c r="A63" i="6" s="1"/>
  <c r="C41" i="6"/>
  <c r="F67" i="6"/>
  <c r="D16" i="6"/>
  <c r="C21" i="6"/>
  <c r="C16" i="6"/>
  <c r="F31" i="6"/>
  <c r="H31" i="6" s="1"/>
  <c r="D31" i="6" s="1"/>
  <c r="H26" i="6"/>
  <c r="D26" i="6" s="1"/>
  <c r="C46" i="6"/>
  <c r="C51" i="6"/>
  <c r="C31" i="6"/>
  <c r="C26" i="6"/>
  <c r="H20" i="6"/>
  <c r="C20" i="6" s="1"/>
  <c r="F30" i="6"/>
  <c r="F40" i="6"/>
  <c r="F50" i="6"/>
  <c r="F66" i="6"/>
  <c r="B45" i="6"/>
  <c r="G45" i="6" s="1"/>
  <c r="H45" i="6" s="1"/>
  <c r="B25" i="6"/>
  <c r="G25" i="6" s="1"/>
  <c r="H25" i="6" s="1"/>
  <c r="F35" i="6"/>
  <c r="H35" i="6" s="1"/>
  <c r="D35" i="6" s="1"/>
  <c r="B50" i="6"/>
  <c r="G50" i="6" s="1"/>
  <c r="C15" i="6"/>
  <c r="B37" i="4"/>
  <c r="A23" i="6" s="1"/>
  <c r="B87" i="4"/>
  <c r="A62" i="6" s="1"/>
  <c r="B55" i="4"/>
  <c r="A38" i="6" s="1"/>
  <c r="B19" i="6"/>
  <c r="F19" i="6"/>
  <c r="B85" i="4"/>
  <c r="A60" i="6" s="1"/>
  <c r="B49" i="4"/>
  <c r="A33" i="6" s="1"/>
  <c r="C7" i="6"/>
  <c r="B43" i="4"/>
  <c r="A28" i="6" s="1"/>
  <c r="B83" i="4"/>
  <c r="A59" i="6" s="1"/>
  <c r="B67" i="4"/>
  <c r="A48" i="6" s="1"/>
  <c r="G14" i="6"/>
  <c r="H14" i="6" s="1"/>
  <c r="B77" i="4"/>
  <c r="A55" i="6" s="1"/>
  <c r="B81" i="4"/>
  <c r="A58" i="6" s="1"/>
  <c r="B75" i="4"/>
  <c r="A54" i="6" s="1"/>
  <c r="C14" i="6"/>
  <c r="B29" i="6"/>
  <c r="G29" i="6" s="1"/>
  <c r="B79" i="4"/>
  <c r="A57" i="6" s="1"/>
  <c r="C12" i="6"/>
  <c r="C8" i="6"/>
  <c r="A27" i="6"/>
  <c r="D67" i="4"/>
  <c r="D43" i="4"/>
  <c r="C11" i="6"/>
  <c r="D61" i="4"/>
  <c r="C10" i="6"/>
  <c r="C9" i="6"/>
  <c r="D74" i="4"/>
  <c r="B59" i="4"/>
  <c r="A42" i="6" s="1"/>
  <c r="B32" i="4"/>
  <c r="A19" i="6" s="1"/>
  <c r="B71" i="4"/>
  <c r="A52" i="6" s="1"/>
  <c r="A25" i="6"/>
  <c r="B65" i="4"/>
  <c r="A47" i="6" s="1"/>
  <c r="B51" i="4"/>
  <c r="A35" i="6" s="1"/>
  <c r="B33" i="4"/>
  <c r="A20" i="6" s="1"/>
  <c r="C6" i="6"/>
  <c r="C5" i="6"/>
  <c r="C4" i="6"/>
  <c r="B58" i="4"/>
  <c r="A41" i="6" s="1"/>
  <c r="A26" i="6"/>
  <c r="G61" i="4"/>
  <c r="G74" i="4"/>
  <c r="G55" i="4"/>
  <c r="G67" i="4"/>
  <c r="B69" i="4"/>
  <c r="A50" i="6" s="1"/>
  <c r="B63" i="4"/>
  <c r="A45" i="6" s="1"/>
  <c r="G37" i="4"/>
  <c r="G43" i="4"/>
  <c r="G49" i="4"/>
  <c r="G31" i="4"/>
  <c r="B64" i="4"/>
  <c r="A46" i="6" s="1"/>
  <c r="A16" i="6"/>
  <c r="B52" i="4"/>
  <c r="A36" i="6" s="1"/>
  <c r="G64" i="6"/>
  <c r="B56" i="4"/>
  <c r="A39" i="6" s="1"/>
  <c r="D37" i="4"/>
  <c r="B50" i="4"/>
  <c r="A34" i="6" s="1"/>
  <c r="B62" i="4"/>
  <c r="A44" i="6" s="1"/>
  <c r="B68" i="4"/>
  <c r="A49" i="6" s="1"/>
  <c r="F69" i="6"/>
  <c r="D55" i="4"/>
  <c r="B35" i="4"/>
  <c r="A22" i="6" s="1"/>
  <c r="D31" i="4"/>
  <c r="S16" i="5"/>
  <c r="S15" i="5"/>
  <c r="S14" i="5"/>
  <c r="S13" i="5"/>
  <c r="S12" i="5"/>
  <c r="S11" i="5"/>
  <c r="S10" i="5"/>
  <c r="S9" i="5"/>
  <c r="S8" i="5"/>
  <c r="X7" i="5" l="1"/>
  <c r="C68" i="6"/>
  <c r="H67" i="6"/>
  <c r="X6" i="5"/>
  <c r="X5" i="5"/>
  <c r="H66" i="6"/>
  <c r="C36" i="6"/>
  <c r="H40" i="6"/>
  <c r="H30" i="6"/>
  <c r="D25" i="6"/>
  <c r="C25" i="6"/>
  <c r="D45" i="6"/>
  <c r="C45" i="6"/>
  <c r="C35" i="6"/>
  <c r="H50" i="6"/>
  <c r="K66" i="6"/>
  <c r="D20" i="6"/>
  <c r="H19" i="6"/>
  <c r="B44" i="6"/>
  <c r="G44" i="6" s="1"/>
  <c r="G19" i="6"/>
  <c r="B39" i="6"/>
  <c r="G39" i="6" s="1"/>
  <c r="F24" i="6"/>
  <c r="B49" i="6"/>
  <c r="G49" i="6" s="1"/>
  <c r="B24" i="6"/>
  <c r="G24" i="6" s="1"/>
  <c r="D14" i="6"/>
  <c r="B34" i="6"/>
  <c r="G34" i="6" s="1"/>
  <c r="H69" i="6"/>
  <c r="C69" i="6"/>
  <c r="H64" i="6"/>
  <c r="B64" i="6"/>
  <c r="T16" i="5"/>
  <c r="T15" i="5"/>
  <c r="T14" i="5"/>
  <c r="T13" i="5"/>
  <c r="T12" i="5"/>
  <c r="T11" i="5"/>
  <c r="T10" i="5"/>
  <c r="T9" i="5"/>
  <c r="T8" i="5"/>
  <c r="S7" i="5"/>
  <c r="S6" i="5"/>
  <c r="S5" i="5"/>
  <c r="D67" i="6" l="1"/>
  <c r="C67" i="6"/>
  <c r="D66" i="6"/>
  <c r="C66" i="6"/>
  <c r="D30" i="6"/>
  <c r="C30" i="6"/>
  <c r="D40" i="6"/>
  <c r="C40" i="6"/>
  <c r="D50" i="6"/>
  <c r="C50" i="6"/>
  <c r="D19" i="6"/>
  <c r="C19" i="6"/>
  <c r="K65" i="6"/>
  <c r="F34" i="6"/>
  <c r="H34" i="6" s="1"/>
  <c r="H24" i="6"/>
  <c r="F29" i="6"/>
  <c r="H29" i="6" s="1"/>
  <c r="F39" i="6"/>
  <c r="H39" i="6" s="1"/>
  <c r="F54" i="6"/>
  <c r="F65" i="6"/>
  <c r="F49" i="6"/>
  <c r="H49" i="6" s="1"/>
  <c r="F44" i="6"/>
  <c r="H44" i="6" s="1"/>
  <c r="C64" i="6"/>
  <c r="D64" i="6"/>
  <c r="T7" i="5"/>
  <c r="T6" i="5"/>
  <c r="T5" i="5"/>
  <c r="D49" i="6" l="1"/>
  <c r="C49" i="6"/>
  <c r="B2" i="6"/>
  <c r="H65" i="6"/>
  <c r="C2" i="6"/>
  <c r="F62" i="6"/>
  <c r="H62" i="6" s="1"/>
  <c r="F63" i="6"/>
  <c r="H63" i="6" s="1"/>
  <c r="F58" i="6"/>
  <c r="H58" i="6" s="1"/>
  <c r="F60" i="6"/>
  <c r="H60" i="6" s="1"/>
  <c r="F59" i="6"/>
  <c r="H59" i="6" s="1"/>
  <c r="F55" i="6"/>
  <c r="F57" i="6"/>
  <c r="H57" i="6" s="1"/>
  <c r="H54" i="6"/>
  <c r="D39" i="6"/>
  <c r="C39" i="6"/>
  <c r="D29" i="6"/>
  <c r="C29" i="6"/>
  <c r="D24" i="6"/>
  <c r="C24" i="6"/>
  <c r="D34" i="6"/>
  <c r="C34" i="6"/>
  <c r="D44" i="6"/>
  <c r="C44" i="6"/>
  <c r="C54" i="6" l="1"/>
  <c r="D54" i="6"/>
  <c r="H55" i="6"/>
  <c r="F56" i="6"/>
  <c r="H56" i="6" s="1"/>
  <c r="D60" i="6"/>
  <c r="C60" i="6"/>
  <c r="D63" i="6"/>
  <c r="C63" i="6"/>
  <c r="D57" i="6"/>
  <c r="C57" i="6"/>
  <c r="D59" i="6"/>
  <c r="C59" i="6"/>
  <c r="D58" i="6"/>
  <c r="C58" i="6"/>
  <c r="D62" i="6"/>
  <c r="C62" i="6"/>
  <c r="D65" i="6"/>
  <c r="C65"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<sst xmlns="http://schemas.openxmlformats.org/spreadsheetml/2006/main" count="22357" uniqueCount="15825">
  <si>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</si>
  <si>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</si>
  <si>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</si>
  <si>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</si>
  <si>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</si>
  <si>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</si>
  <si>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</si>
  <si>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</si>
  <si>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</si>
  <si>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</si>
  <si>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</si>
  <si>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</si>
  <si>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</si>
  <si>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</si>
  <si>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</si>
  <si>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</si>
  <si>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</si>
  <si>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</si>
  <si>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</si>
  <si>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</si>
  <si>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</si>
  <si>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</si>
  <si>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</si>
  <si>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</si>
  <si>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</si>
  <si>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</si>
  <si>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</si>
  <si>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</si>
  <si>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</si>
  <si>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</si>
  <si>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</si>
  <si>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</si>
  <si>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</si>
  <si>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</si>
  <si>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</si>
  <si>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</si>
  <si>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</si>
  <si>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</si>
  <si>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</si>
  <si>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</si>
  <si>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</si>
  <si>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</si>
  <si>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</si>
  <si>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</si>
  <si>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</si>
  <si>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</si>
  <si>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</si>
  <si>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</si>
  <si>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</si>
  <si>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</si>
  <si>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</si>
  <si>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</si>
  <si>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</si>
  <si>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</si>
  <si>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</si>
  <si>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</si>
  <si>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</si>
  <si>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</si>
  <si>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</si>
  <si>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</si>
  <si>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</si>
  <si>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</si>
  <si>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</si>
  <si>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</si>
  <si>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</si>
  <si>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</si>
  <si>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</si>
  <si>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</si>
  <si>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</si>
  <si>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</si>
  <si>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</si>
  <si>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</si>
  <si>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</si>
  <si>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</si>
  <si>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</si>
  <si>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</si>
  <si>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</si>
  <si>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</si>
  <si>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</si>
  <si>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</si>
  <si>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</si>
  <si>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</si>
  <si>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</si>
  <si>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</si>
  <si>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</si>
  <si>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</si>
  <si>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</si>
  <si>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</si>
  <si>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</si>
  <si>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</si>
  <si>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</si>
  <si>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</si>
  <si>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</si>
  <si>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</si>
  <si>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</si>
  <si>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</si>
  <si>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</si>
  <si>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</si>
  <si>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</si>
  <si>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</si>
  <si>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</si>
  <si>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</si>
  <si>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</si>
  <si>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</si>
  <si>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</si>
  <si>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</si>
  <si>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</si>
  <si>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</si>
  <si>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</si>
  <si>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</si>
  <si>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</si>
  <si>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</si>
  <si>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</si>
  <si>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</si>
  <si>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</si>
  <si>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</si>
  <si>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</si>
  <si>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</si>
  <si>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</si>
  <si>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</si>
  <si>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</si>
  <si>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</si>
  <si>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</si>
  <si>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</si>
  <si>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</si>
  <si>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</si>
  <si>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</si>
  <si>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</si>
  <si>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</si>
  <si>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</si>
  <si>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</si>
  <si>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</si>
  <si>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</si>
  <si>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</si>
  <si>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</si>
  <si>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</si>
  <si>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</si>
  <si>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</si>
  <si>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</si>
  <si>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</si>
  <si>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</si>
  <si>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</si>
  <si>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</si>
  <si>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</si>
  <si>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</si>
  <si>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</si>
  <si>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</si>
  <si>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</si>
  <si>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</si>
  <si>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</si>
  <si>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</si>
  <si>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</si>
  <si>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</si>
  <si>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</si>
  <si>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</si>
  <si>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</si>
  <si>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</si>
  <si>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</si>
  <si>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</si>
  <si>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</si>
  <si>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</si>
  <si>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</si>
  <si>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</si>
  <si>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</si>
  <si>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</si>
  <si>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</si>
  <si>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</si>
  <si>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</si>
  <si>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</si>
  <si>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</si>
  <si>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</si>
  <si>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</si>
  <si>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</si>
  <si>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</si>
  <si>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</si>
  <si>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</si>
  <si>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</si>
  <si>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</si>
  <si>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</si>
  <si>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</si>
  <si>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</si>
  <si>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</si>
  <si>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</si>
  <si>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</si>
  <si>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</si>
  <si>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</si>
  <si>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</si>
  <si>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</si>
  <si>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</si>
  <si>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</si>
  <si>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</si>
  <si>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</si>
  <si>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</si>
  <si>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</si>
  <si>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</si>
  <si>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</si>
  <si>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</si>
  <si>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</si>
  <si>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</si>
  <si>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</si>
  <si>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</si>
  <si>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</si>
  <si>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</si>
  <si>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</si>
  <si>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</si>
  <si>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</si>
  <si>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</si>
  <si>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</si>
  <si>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</si>
  <si>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</si>
  <si>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</si>
  <si>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</si>
  <si>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</si>
  <si>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</si>
  <si>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</si>
  <si>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</si>
  <si>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</si>
  <si>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</si>
  <si>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</si>
  <si>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</si>
  <si>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</si>
  <si>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</si>
  <si>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</si>
  <si>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</si>
  <si>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</si>
  <si>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</si>
  <si>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</si>
  <si>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</si>
  <si>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</si>
  <si>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</si>
  <si>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</si>
  <si>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</si>
  <si>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</si>
  <si>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</si>
  <si>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</si>
  <si>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</si>
  <si>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</si>
  <si>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</si>
  <si>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</si>
  <si>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</si>
  <si>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</si>
  <si>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</si>
  <si>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</si>
  <si>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</si>
  <si>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</si>
  <si>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</si>
  <si>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</si>
  <si>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</si>
  <si>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</si>
  <si>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</si>
  <si>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</si>
  <si>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</si>
  <si>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</si>
  <si>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</si>
  <si>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</si>
  <si>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</si>
  <si>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</si>
  <si>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</si>
  <si>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</si>
  <si>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</si>
  <si>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</si>
  <si>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</si>
  <si>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</si>
  <si>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</si>
  <si>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</si>
  <si>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</si>
  <si>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</si>
  <si>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</si>
  <si>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</si>
  <si>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</si>
  <si>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</si>
  <si>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</si>
  <si>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</si>
  <si>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</si>
  <si>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</si>
  <si>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</si>
  <si>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</si>
  <si>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</si>
  <si>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</si>
  <si>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</si>
  <si>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</si>
  <si>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</si>
  <si>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</si>
  <si>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</si>
  <si>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</si>
  <si>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</si>
  <si>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</si>
  <si>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</si>
  <si>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</si>
  <si>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</si>
  <si>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</si>
  <si>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</si>
  <si>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</si>
  <si>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</si>
  <si>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</si>
  <si>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</si>
  <si>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</si>
  <si>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</si>
  <si>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</si>
  <si>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</si>
  <si>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</si>
  <si>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</si>
  <si>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</si>
  <si>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</si>
  <si>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</si>
  <si>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</si>
  <si>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</si>
  <si>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</si>
  <si>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</si>
  <si>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</si>
  <si>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</si>
  <si>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</si>
  <si>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</si>
  <si>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</si>
  <si>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</si>
  <si>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</si>
  <si>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</si>
  <si>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</si>
  <si>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</si>
  <si>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</si>
  <si>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</si>
  <si>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</si>
  <si>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</si>
  <si>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</si>
  <si>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</si>
  <si>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</si>
  <si>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</si>
  <si>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</si>
  <si>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</si>
  <si>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</si>
  <si>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</si>
  <si>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</si>
  <si>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</si>
  <si>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</si>
  <si>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</si>
  <si>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</si>
  <si>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</si>
  <si>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</si>
  <si>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</si>
  <si>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</si>
  <si>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</si>
  <si>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</si>
  <si>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</si>
  <si>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</si>
  <si>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</si>
  <si>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</si>
  <si>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</si>
  <si>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</si>
  <si>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</si>
  <si>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</si>
  <si>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</si>
  <si>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</si>
  <si>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</si>
  <si>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</si>
  <si>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</si>
  <si>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</si>
  <si>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</si>
  <si>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</si>
  <si>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</si>
  <si>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</si>
  <si>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</si>
  <si>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</si>
  <si>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</si>
  <si>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</si>
  <si>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</si>
  <si>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</si>
  <si>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</si>
  <si>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</si>
  <si>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</si>
  <si>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</si>
  <si>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</si>
  <si>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</si>
  <si>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</si>
  <si>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</si>
  <si>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</si>
  <si>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</si>
  <si>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</si>
  <si>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</si>
  <si>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</si>
  <si>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</si>
  <si>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</si>
  <si>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</si>
  <si>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</si>
  <si>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</si>
  <si>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</si>
  <si>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</si>
  <si>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</si>
  <si>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</si>
  <si>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</si>
  <si>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</si>
  <si>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</si>
  <si>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</si>
  <si>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</si>
  <si>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</si>
  <si>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</si>
  <si>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</si>
  <si>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</si>
  <si>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</si>
  <si>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</si>
  <si>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</si>
  <si>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</si>
  <si>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</si>
  <si>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</si>
  <si>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</si>
  <si>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</si>
  <si>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</si>
  <si>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</si>
  <si>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</si>
  <si>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</si>
  <si>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</si>
  <si>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</si>
  <si>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</si>
  <si>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</si>
  <si>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</si>
  <si>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</si>
  <si>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</si>
  <si>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</si>
  <si>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</si>
  <si>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</si>
  <si>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</si>
  <si>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</si>
  <si>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</si>
  <si>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</si>
  <si>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</si>
  <si>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</si>
  <si>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</si>
  <si>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</si>
  <si>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</si>
  <si>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</si>
  <si>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</si>
  <si>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</si>
  <si>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</si>
  <si>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</si>
  <si>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</si>
  <si>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</si>
  <si>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</si>
  <si>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</si>
  <si>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</si>
  <si>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</si>
  <si>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</si>
  <si>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</si>
  <si>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</si>
  <si>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</si>
  <si>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</si>
  <si>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</si>
  <si>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</si>
  <si>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</si>
  <si>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</si>
  <si>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</si>
  <si>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</si>
  <si>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</si>
  <si>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</si>
  <si>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</si>
  <si>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</si>
  <si>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</si>
  <si>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</si>
  <si>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</si>
  <si>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</si>
  <si>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</si>
  <si>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</si>
  <si>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</si>
  <si>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</si>
  <si>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</si>
  <si>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</si>
  <si>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</si>
  <si>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</si>
  <si>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</si>
  <si>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</si>
  <si>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</si>
  <si>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</si>
  <si>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</si>
  <si>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</si>
  <si>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</si>
  <si>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</si>
  <si>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</si>
  <si>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</si>
  <si>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</si>
  <si>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</si>
  <si>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</si>
  <si>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</si>
  <si>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</si>
  <si>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</si>
  <si>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</si>
  <si>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</si>
  <si>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</si>
  <si>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</si>
  <si>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</si>
  <si>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</si>
  <si>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</si>
  <si>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</si>
  <si>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</si>
  <si>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</si>
  <si>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</si>
  <si>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</si>
  <si>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</si>
  <si>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</si>
  <si>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</si>
  <si>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</si>
  <si>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</si>
  <si>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</si>
  <si>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</si>
  <si>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</si>
  <si>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</si>
  <si>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</si>
  <si>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</si>
  <si>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</si>
  <si>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</si>
  <si>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</si>
  <si>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</si>
  <si>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</si>
  <si>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</si>
  <si>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</si>
  <si>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</si>
  <si>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</si>
  <si>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</si>
  <si>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</si>
  <si>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</si>
  <si>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</si>
  <si>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</si>
  <si>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</si>
  <si>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</si>
  <si>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</si>
  <si>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</si>
  <si>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</si>
  <si>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</si>
  <si>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</si>
  <si>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</si>
  <si>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</si>
  <si>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</si>
  <si>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</si>
  <si>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</si>
  <si>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</si>
  <si>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</si>
  <si>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</si>
  <si>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</si>
  <si>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</si>
  <si>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</si>
  <si>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</si>
  <si>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</si>
  <si>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</si>
  <si>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</si>
  <si>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</si>
  <si>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</si>
  <si>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</si>
  <si>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</si>
  <si>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</si>
  <si>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</si>
  <si>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</si>
  <si>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</si>
  <si>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</si>
  <si>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</si>
  <si>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</si>
  <si>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</si>
  <si>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</si>
  <si>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</si>
  <si>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</si>
  <si>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</si>
  <si>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</si>
  <si>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</si>
  <si>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</si>
  <si>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</si>
  <si>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</si>
  <si>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</si>
  <si>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</si>
  <si>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</si>
  <si>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</si>
  <si>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</si>
  <si>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</si>
  <si>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</si>
  <si>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</si>
  <si>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</si>
  <si>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</si>
  <si>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</si>
  <si>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</si>
  <si>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</si>
  <si>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</si>
  <si>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</si>
  <si>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</si>
  <si>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</si>
  <si>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</si>
  <si>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</si>
  <si>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</si>
  <si>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</si>
  <si>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</si>
  <si>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</si>
  <si>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</si>
  <si>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</si>
  <si>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</si>
  <si>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</si>
  <si>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</si>
  <si>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</si>
  <si>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</si>
  <si>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</si>
  <si>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</si>
  <si>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</si>
  <si>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</si>
  <si>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</si>
  <si>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</si>
  <si>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</si>
  <si>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</si>
  <si>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</si>
  <si>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</si>
  <si>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</si>
  <si>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</si>
  <si>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</si>
  <si>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</si>
  <si>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</si>
  <si>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</si>
  <si>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</si>
  <si>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</si>
  <si>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</si>
  <si>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</si>
  <si>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</si>
  <si>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</si>
  <si>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</si>
  <si>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</si>
  <si>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</si>
  <si>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</si>
  <si>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</si>
  <si>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</si>
  <si>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</si>
  <si>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</si>
  <si>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</si>
  <si>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</si>
  <si>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</si>
  <si>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</si>
  <si>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</si>
  <si>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</si>
  <si>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</si>
  <si>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</si>
  <si>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</si>
  <si>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</si>
  <si>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</si>
  <si>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</si>
  <si>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</si>
  <si>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</si>
  <si>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</si>
  <si>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</si>
  <si>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</si>
  <si>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</si>
  <si>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</si>
  <si>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</si>
  <si>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</si>
  <si>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</si>
  <si>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</si>
  <si>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</si>
  <si>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</si>
  <si>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</si>
  <si>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</si>
  <si>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</si>
  <si>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</si>
  <si>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</si>
  <si>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</si>
  <si>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</si>
  <si>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</si>
  <si>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</si>
  <si>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</si>
  <si>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</si>
  <si>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</si>
  <si>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</si>
  <si>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</si>
  <si>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</si>
  <si>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</si>
  <si>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</si>
  <si>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</si>
  <si>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</si>
  <si>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</si>
  <si>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</si>
  <si>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</si>
  <si>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</si>
  <si>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</si>
  <si>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</si>
  <si>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</si>
  <si>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</si>
  <si>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</si>
  <si>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</si>
  <si>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</si>
  <si>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</si>
  <si>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</si>
  <si>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</si>
  <si>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</si>
  <si>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</si>
  <si>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</si>
  <si>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</si>
  <si>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</si>
  <si>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</si>
  <si>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</si>
  <si>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</si>
  <si>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</si>
  <si>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</si>
  <si>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</si>
  <si>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</si>
  <si>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</si>
  <si>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</si>
  <si>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</si>
  <si>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</si>
  <si>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</si>
  <si>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</si>
  <si>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</si>
  <si>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</si>
  <si>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</si>
  <si>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</si>
  <si>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</si>
  <si>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</si>
  <si>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</si>
  <si>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</si>
  <si>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</si>
  <si>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</si>
  <si>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</si>
  <si>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</si>
  <si>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</si>
  <si>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</si>
  <si>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</si>
  <si>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</si>
  <si>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</si>
  <si>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</si>
  <si>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</si>
  <si>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</si>
  <si>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</si>
  <si>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</si>
  <si>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</si>
  <si>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</si>
  <si>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</si>
  <si>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</si>
  <si>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</si>
  <si>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</si>
  <si>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</si>
  <si>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</si>
  <si>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</si>
  <si>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</si>
  <si>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</si>
  <si>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</si>
  <si>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</si>
  <si>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</si>
  <si>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</si>
  <si>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</si>
  <si>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</si>
  <si>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</si>
  <si>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</si>
  <si>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</si>
  <si>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</si>
  <si>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</si>
  <si>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</si>
  <si>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</si>
  <si>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</si>
  <si>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</si>
  <si>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</si>
  <si>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</si>
  <si>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</si>
  <si>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</si>
  <si>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</si>
  <si>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</si>
  <si>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</si>
  <si>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</si>
  <si>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</si>
  <si>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</si>
  <si>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</si>
  <si>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</si>
  <si>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</si>
  <si>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</si>
  <si>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</si>
  <si>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</si>
  <si>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</si>
  <si>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</si>
  <si>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</si>
  <si>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</si>
  <si>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</si>
  <si>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</si>
  <si>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</si>
  <si>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</si>
  <si>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</si>
  <si>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</si>
  <si>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</si>
  <si>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</si>
  <si>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</si>
  <si>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</si>
  <si>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</si>
  <si>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</si>
  <si>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</si>
  <si>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</si>
  <si>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</si>
  <si>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</si>
  <si>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</si>
  <si>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</si>
  <si>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</si>
  <si>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</si>
  <si>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</si>
  <si>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</si>
  <si>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</si>
  <si>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</si>
  <si>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</si>
  <si>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</si>
  <si>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</si>
  <si>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</si>
  <si>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</si>
  <si>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</si>
  <si>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</si>
  <si>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</si>
  <si>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</si>
  <si>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</si>
  <si>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</si>
  <si>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</si>
  <si>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</si>
  <si>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</si>
  <si>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</si>
  <si>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</si>
  <si>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</si>
  <si>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</si>
  <si>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</si>
  <si>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</si>
  <si>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</si>
  <si>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</si>
  <si>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</si>
  <si>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</si>
  <si>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</si>
  <si>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</si>
  <si>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</si>
  <si>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</si>
  <si>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</si>
  <si>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</si>
  <si>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</si>
  <si>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</si>
  <si>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</si>
  <si>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</si>
  <si>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</si>
  <si>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</si>
  <si>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</si>
  <si>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</si>
  <si>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</si>
  <si>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</si>
  <si>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</si>
  <si>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</si>
  <si>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</si>
  <si>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</si>
  <si>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</si>
  <si>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</si>
  <si>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</si>
  <si>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</si>
  <si>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</si>
  <si>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</si>
  <si>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</si>
  <si>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</si>
  <si>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</si>
  <si>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</si>
  <si>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</si>
  <si>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</si>
  <si>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</si>
  <si>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</si>
  <si>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</si>
  <si>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</si>
  <si>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</si>
  <si>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</si>
  <si>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</si>
  <si>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</si>
  <si>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</si>
  <si>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</si>
  <si>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</si>
  <si>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</si>
  <si>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</si>
  <si>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</si>
  <si>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</si>
  <si>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</si>
  <si>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</si>
  <si>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</si>
  <si>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</si>
  <si>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</si>
  <si>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</si>
  <si>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</si>
  <si>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</si>
  <si>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</si>
  <si>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</si>
  <si>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</si>
  <si>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</si>
  <si>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</si>
  <si>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</si>
  <si>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</si>
  <si>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</si>
  <si>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</si>
  <si>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</si>
  <si>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</si>
  <si>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</si>
  <si>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</si>
  <si>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</si>
  <si>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</si>
  <si>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</si>
  <si>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</si>
  <si>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</si>
  <si>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</si>
  <si>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</si>
  <si>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</si>
  <si>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</si>
  <si>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</si>
  <si>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</si>
  <si>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</si>
  <si>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</si>
  <si>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</si>
  <si>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</si>
  <si>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</si>
  <si>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</si>
  <si>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</si>
  <si>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</si>
  <si>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</si>
  <si>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</si>
  <si>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</si>
  <si>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</si>
  <si>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</si>
  <si>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</si>
  <si>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</si>
  <si>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</si>
  <si>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</si>
  <si>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</si>
  <si>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</si>
  <si>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</si>
  <si>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</si>
  <si>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</si>
  <si>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</si>
  <si>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</si>
  <si>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</si>
  <si>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</si>
  <si>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</si>
  <si>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</si>
  <si>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</si>
  <si>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</si>
  <si>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</si>
  <si>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</si>
  <si>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</si>
  <si>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</si>
  <si>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</si>
  <si>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</si>
  <si>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</si>
  <si>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</si>
  <si>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</si>
  <si>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</si>
  <si>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</si>
  <si>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</si>
  <si>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</si>
  <si>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</si>
  <si>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</si>
  <si>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</si>
  <si>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</si>
  <si>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</si>
  <si>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</si>
  <si>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</si>
  <si>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</si>
  <si>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</si>
  <si>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</si>
  <si>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</si>
  <si>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</si>
  <si>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</si>
  <si>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</si>
  <si>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</si>
  <si>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</si>
  <si>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</si>
  <si>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</si>
  <si>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</si>
  <si>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</si>
  <si>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</si>
  <si>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</si>
  <si>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</si>
  <si>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</si>
  <si>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</si>
  <si>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</si>
  <si>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</si>
  <si>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</si>
  <si>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</si>
  <si>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</si>
  <si>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</si>
  <si>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</si>
  <si>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</si>
  <si>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</si>
  <si>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</si>
  <si>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</si>
  <si>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</si>
  <si>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</si>
  <si>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</si>
  <si>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</si>
  <si>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</si>
  <si>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</si>
  <si>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</si>
  <si>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</si>
  <si>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</si>
  <si>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</si>
  <si>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</si>
  <si>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</si>
  <si>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</si>
  <si>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</si>
  <si>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</si>
  <si>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</si>
  <si>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</si>
  <si>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</si>
  <si>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</si>
  <si>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</si>
  <si>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</si>
  <si>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</si>
  <si>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</si>
  <si>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</si>
  <si>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</si>
  <si>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</si>
  <si>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</si>
  <si>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</si>
  <si>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</si>
  <si>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</si>
  <si>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</si>
  <si>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</si>
  <si>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</si>
  <si>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</si>
  <si>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</si>
  <si>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</si>
  <si>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</si>
  <si>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</si>
  <si>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</si>
  <si>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</si>
  <si>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</si>
  <si>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</si>
  <si>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</si>
  <si>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</si>
  <si>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</si>
  <si>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</si>
  <si>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</si>
  <si>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</si>
  <si>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</si>
  <si>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</si>
  <si>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</si>
  <si>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</si>
  <si>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</si>
  <si>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</si>
  <si>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</si>
  <si>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</si>
  <si>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</si>
  <si>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</si>
  <si>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</si>
  <si>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</si>
  <si>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</si>
  <si>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</si>
  <si>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</si>
  <si>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</si>
  <si>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</si>
  <si>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</si>
  <si>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</si>
  <si>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</si>
  <si>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</si>
  <si>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</si>
  <si>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</si>
  <si>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</si>
  <si>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</si>
  <si>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</si>
  <si>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</si>
  <si>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</si>
  <si>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</si>
  <si>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</si>
  <si>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</si>
  <si>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</si>
  <si>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</si>
  <si>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</si>
  <si>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</si>
  <si>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</si>
  <si>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</si>
  <si>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</si>
  <si>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</si>
  <si>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</si>
  <si>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</si>
  <si>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</si>
  <si>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</si>
  <si>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</si>
  <si>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</si>
  <si>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</si>
  <si>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</si>
  <si>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</si>
  <si>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</si>
  <si>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</si>
  <si>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</si>
  <si>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</si>
  <si>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</si>
  <si>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</si>
  <si>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</si>
  <si>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</si>
  <si>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</si>
  <si>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</si>
  <si>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</si>
  <si>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</si>
  <si>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</si>
  <si>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</si>
  <si>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</si>
  <si>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</si>
  <si>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</si>
  <si>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</si>
  <si>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</si>
  <si>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</si>
  <si>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</si>
  <si>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</si>
  <si>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</si>
  <si>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</si>
  <si>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</si>
  <si>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</si>
  <si>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</si>
  <si>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</si>
  <si>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</si>
  <si>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</si>
  <si>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</si>
  <si>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</si>
  <si>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</si>
  <si>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</si>
  <si>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</si>
  <si>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</si>
  <si>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</si>
  <si>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</si>
  <si>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</si>
  <si>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</si>
  <si>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</si>
  <si>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</si>
  <si>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</si>
  <si>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</si>
  <si>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</si>
  <si>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</si>
  <si>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</si>
  <si>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</si>
  <si>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</si>
  <si>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</si>
  <si>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</si>
  <si>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</si>
  <si>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</si>
  <si>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</si>
  <si>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</si>
  <si>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</si>
  <si>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</si>
  <si>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</si>
  <si>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</si>
  <si>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</si>
  <si>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</si>
  <si>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</si>
  <si>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</si>
  <si>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</si>
  <si>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</si>
  <si>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</si>
  <si>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</si>
  <si>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</si>
  <si>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</si>
  <si>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</si>
  <si>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</si>
  <si>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</si>
  <si>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</si>
  <si>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</si>
  <si>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</si>
  <si>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</si>
  <si>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</si>
  <si>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</si>
  <si>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</si>
  <si>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</si>
  <si>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</si>
  <si>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</si>
  <si>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</si>
  <si>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</si>
  <si>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</si>
  <si>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</si>
  <si>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</si>
  <si>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</si>
  <si>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</si>
  <si>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</si>
  <si>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</si>
  <si>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</si>
  <si>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</si>
  <si>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</si>
  <si>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</si>
  <si>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</si>
  <si>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</si>
  <si>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</si>
  <si>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</si>
  <si>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</si>
  <si>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</si>
  <si>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</si>
  <si>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</si>
  <si>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</si>
  <si>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</si>
  <si>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</si>
  <si>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</si>
  <si>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</si>
  <si>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</si>
  <si>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</si>
  <si>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</si>
  <si>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</si>
  <si>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</si>
  <si>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</si>
  <si>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</si>
  <si>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</si>
  <si>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</si>
  <si>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</si>
  <si>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</si>
  <si>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</si>
  <si>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</si>
  <si>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</si>
  <si>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</si>
  <si>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</si>
  <si>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</si>
  <si>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</si>
  <si>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</si>
  <si>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</si>
  <si>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</si>
  <si>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</si>
  <si>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</si>
  <si>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</si>
  <si>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</si>
  <si>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</si>
  <si>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</si>
  <si>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</si>
  <si>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</si>
  <si>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</si>
  <si>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</si>
  <si>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</si>
  <si>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</si>
  <si>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</si>
  <si>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</si>
  <si>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</si>
  <si>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</si>
  <si>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</si>
  <si>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</si>
  <si>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</si>
  <si>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</si>
  <si>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</si>
  <si>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</si>
  <si>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</si>
  <si>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</si>
  <si>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</si>
  <si>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</si>
  <si>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</si>
  <si>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</si>
  <si>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</si>
  <si>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</si>
  <si>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</si>
  <si>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</si>
  <si>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</si>
  <si>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</si>
  <si>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</si>
  <si>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</si>
  <si>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</si>
  <si>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</si>
  <si>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</si>
  <si>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</si>
  <si>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</si>
  <si>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</si>
  <si>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</si>
  <si>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</si>
  <si>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</si>
  <si>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</si>
  <si>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</si>
  <si>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</si>
  <si>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</si>
  <si>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</si>
  <si>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</si>
  <si>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</si>
  <si>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</si>
  <si>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</si>
  <si>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</si>
  <si>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</si>
  <si>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</si>
  <si>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</si>
  <si>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</si>
  <si>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</si>
  <si>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</si>
  <si>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</si>
  <si>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</si>
  <si>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</si>
  <si>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</si>
  <si>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</si>
  <si>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</si>
  <si>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</si>
  <si>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</si>
  <si>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</si>
  <si>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</si>
  <si>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</si>
  <si>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</si>
  <si>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</si>
  <si>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</si>
  <si>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</si>
  <si>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</si>
  <si>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</si>
  <si>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</si>
  <si>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</si>
  <si>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</si>
  <si>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</si>
  <si>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</si>
  <si>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</si>
  <si>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</si>
  <si>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</si>
  <si>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</si>
  <si>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</si>
  <si>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</si>
  <si>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</si>
  <si>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</si>
  <si>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</si>
  <si>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</si>
  <si>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</si>
  <si>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</si>
  <si>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</si>
  <si>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</si>
  <si>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</si>
  <si>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</si>
  <si>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</si>
  <si>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</si>
  <si>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</si>
  <si>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</si>
  <si>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</si>
  <si>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</si>
  <si>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</si>
  <si>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</si>
  <si>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</si>
  <si>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</si>
  <si>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</si>
  <si>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</si>
  <si>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</si>
  <si>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</si>
  <si>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</si>
  <si>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</si>
  <si>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</si>
  <si>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</si>
  <si>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</si>
  <si>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</si>
  <si>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</si>
  <si>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</si>
  <si>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</si>
  <si>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</si>
  <si>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</si>
  <si>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</si>
  <si>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</si>
  <si>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</si>
  <si>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</si>
  <si>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</si>
  <si>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</si>
  <si>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</si>
  <si>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</si>
  <si>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</si>
  <si>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</si>
  <si>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</si>
  <si>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</si>
  <si>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</si>
  <si>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</si>
  <si>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</si>
  <si>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</si>
  <si>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</si>
  <si>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</si>
  <si>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</si>
  <si>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</si>
  <si>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</si>
  <si>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</si>
  <si>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</si>
  <si>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</si>
  <si>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</si>
  <si>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</si>
  <si>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</si>
  <si>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</si>
  <si>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</si>
  <si>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</si>
  <si>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</si>
  <si>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</si>
  <si>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</si>
  <si>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</si>
  <si>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</si>
  <si>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</si>
  <si>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</si>
  <si>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</si>
  <si>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</si>
  <si>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</si>
  <si>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</si>
  <si>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</si>
  <si>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</si>
  <si>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</si>
  <si>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</si>
  <si>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</si>
  <si>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</si>
  <si>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</si>
  <si>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</si>
  <si>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</si>
  <si>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</si>
  <si>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</si>
  <si>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</si>
  <si>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</si>
  <si>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</si>
  <si>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</si>
  <si>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</si>
  <si>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</si>
  <si>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</si>
  <si>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</si>
  <si>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</si>
  <si>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</si>
  <si>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</si>
  <si>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</si>
  <si>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</si>
  <si>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</si>
  <si>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</si>
  <si>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</si>
  <si>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</si>
  <si>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</si>
  <si>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</si>
  <si>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</si>
  <si>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</si>
  <si>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</si>
  <si>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</si>
  <si>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</si>
  <si>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</si>
  <si>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</si>
  <si>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</si>
  <si>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</si>
  <si>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</si>
  <si>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</si>
  <si>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</si>
  <si>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</si>
  <si>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</si>
  <si>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</si>
  <si>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</si>
  <si>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</si>
  <si>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</si>
  <si>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</si>
  <si>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</si>
  <si>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</si>
  <si>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</si>
  <si>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</si>
  <si>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</si>
  <si>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</si>
  <si>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</si>
  <si>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</si>
  <si>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</si>
  <si>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</si>
  <si>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</si>
  <si>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</si>
  <si>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</si>
  <si>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</si>
  <si>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</si>
  <si>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</si>
  <si>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</si>
  <si>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</si>
  <si>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</si>
  <si>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</si>
  <si>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</si>
  <si>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</si>
  <si>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</si>
  <si>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</si>
  <si>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</si>
  <si>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</si>
  <si>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</si>
  <si>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</si>
  <si>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</si>
  <si>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</si>
  <si>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</si>
  <si>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</si>
  <si>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</si>
  <si>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</si>
  <si>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</si>
  <si>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</si>
  <si>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</si>
  <si>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</si>
  <si>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</si>
  <si>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</si>
  <si>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</si>
  <si>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</si>
  <si>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</si>
  <si>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</si>
  <si>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</si>
  <si>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</si>
  <si>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</si>
  <si>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</si>
  <si>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</si>
  <si>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</si>
  <si>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</si>
  <si>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</si>
  <si>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</si>
  <si>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</si>
  <si>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</si>
  <si>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</si>
  <si>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</si>
  <si>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</si>
  <si>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</si>
  <si>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</si>
  <si>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</si>
  <si>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</si>
  <si>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</si>
  <si>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</si>
  <si>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</si>
  <si>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</si>
  <si>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</si>
  <si>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</si>
  <si>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</si>
  <si>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</si>
  <si>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</si>
  <si>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</si>
  <si>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</si>
  <si>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</si>
  <si>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</si>
  <si>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</si>
  <si>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</si>
  <si>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</si>
  <si>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</si>
  <si>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</si>
  <si>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</si>
  <si>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</si>
  <si>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</si>
  <si>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</si>
  <si>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</si>
  <si>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</si>
  <si>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</si>
  <si>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</si>
  <si>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</si>
  <si>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</si>
  <si>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</si>
  <si>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</si>
  <si>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</si>
  <si>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</si>
  <si>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</si>
  <si>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</si>
  <si>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</si>
  <si>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</si>
  <si>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</si>
  <si>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</si>
  <si>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</si>
  <si>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</si>
  <si>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</si>
  <si>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</si>
  <si>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</si>
  <si>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</si>
  <si>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</si>
  <si>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</si>
  <si>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</si>
  <si>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</si>
  <si>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</si>
  <si>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</si>
  <si>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</si>
  <si>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</si>
  <si>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</si>
  <si>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</si>
  <si>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</si>
  <si>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</si>
  <si>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</si>
  <si>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</si>
  <si>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</si>
  <si>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</si>
  <si>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</si>
  <si>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</si>
  <si>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</si>
  <si>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</si>
  <si>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</si>
  <si>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</si>
  <si>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</si>
  <si>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</si>
  <si>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</si>
  <si>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</si>
  <si>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</si>
  <si>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</si>
  <si>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</si>
  <si>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</si>
  <si>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</si>
  <si>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</si>
  <si>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</si>
  <si>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</si>
  <si>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</si>
  <si>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</si>
  <si>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</si>
  <si>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</si>
  <si>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</si>
  <si>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</si>
  <si>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</si>
  <si>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</si>
  <si>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</si>
  <si>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</si>
  <si>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</si>
  <si>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</si>
  <si>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</si>
  <si>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</si>
  <si>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</si>
  <si>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</si>
  <si>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</si>
  <si>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</si>
  <si>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</si>
  <si>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</si>
  <si>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</si>
  <si>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</si>
  <si>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</si>
  <si>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</si>
  <si>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</si>
  <si>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</si>
  <si>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</si>
  <si>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</si>
  <si>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</si>
  <si>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</si>
  <si>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</si>
  <si>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</si>
  <si>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</si>
  <si>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</si>
  <si>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</si>
  <si>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</si>
  <si>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</si>
  <si>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</si>
  <si>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</si>
  <si>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</si>
  <si>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</si>
  <si>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</si>
  <si>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</si>
  <si>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</si>
  <si>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</si>
  <si>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</si>
  <si>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</si>
  <si>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</si>
  <si>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</si>
  <si>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</si>
  <si>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</si>
  <si>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</si>
  <si>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</si>
  <si>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</si>
  <si>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</si>
  <si>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</si>
  <si>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</si>
  <si>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</si>
  <si>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</si>
  <si>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</si>
  <si>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</si>
  <si>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</si>
  <si>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</si>
  <si>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</si>
  <si>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</si>
  <si>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</si>
  <si>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</si>
  <si>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</si>
  <si>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</si>
  <si>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</si>
  <si>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</si>
  <si>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</si>
  <si>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</si>
  <si>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</si>
  <si>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</si>
  <si>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</si>
  <si>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</si>
  <si>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</si>
  <si>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</si>
  <si>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</si>
  <si>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</si>
  <si>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</si>
  <si>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</si>
  <si>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</si>
  <si>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</si>
  <si>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</si>
  <si>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</si>
  <si>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</si>
  <si>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</si>
  <si>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</si>
  <si>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</si>
  <si>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</si>
  <si>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</si>
  <si>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</si>
  <si>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</si>
  <si>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</si>
  <si>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</si>
  <si>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</si>
  <si>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</si>
  <si>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</si>
  <si>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</si>
  <si>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</si>
  <si>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</si>
  <si>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</si>
  <si>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</si>
  <si>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</si>
  <si>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</si>
  <si>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</si>
  <si>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</si>
  <si>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</si>
  <si>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</si>
  <si>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</si>
  <si>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</si>
  <si>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</si>
  <si>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</si>
  <si>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</si>
  <si>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</si>
  <si>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</si>
  <si>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</si>
  <si>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</si>
  <si>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</si>
  <si>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</si>
  <si>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</si>
  <si>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</si>
  <si>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</si>
  <si>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</si>
  <si>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</si>
  <si>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</si>
  <si>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</si>
  <si>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</si>
  <si>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</si>
  <si>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</si>
  <si>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</si>
  <si>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</si>
  <si>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</si>
  <si>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</si>
  <si>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</si>
  <si>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</si>
  <si>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</si>
  <si>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</si>
  <si>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</si>
  <si>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</si>
  <si>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</si>
  <si>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</si>
  <si>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</si>
  <si>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</si>
  <si>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</si>
  <si>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</si>
  <si>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</si>
  <si>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</si>
  <si>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</si>
  <si>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</si>
  <si>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</si>
  <si>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</si>
  <si>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</si>
  <si>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</si>
  <si>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</si>
  <si>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</si>
  <si>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</si>
  <si>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</si>
  <si>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</si>
  <si>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</si>
  <si>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</si>
  <si>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</si>
  <si>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</si>
  <si>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</si>
  <si>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</si>
  <si>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</si>
  <si>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</si>
  <si>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</si>
  <si>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</si>
  <si>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</si>
  <si>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</si>
  <si>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</si>
  <si>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</si>
  <si>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</si>
  <si>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</si>
  <si>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</si>
  <si>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</si>
  <si>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</si>
  <si>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</si>
  <si>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</si>
  <si>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</si>
  <si>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</si>
  <si>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</si>
  <si>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</si>
  <si>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</si>
  <si>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</si>
  <si>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</si>
  <si>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</si>
  <si>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</si>
  <si>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</si>
  <si>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</si>
  <si>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</si>
  <si>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</si>
  <si>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</si>
  <si>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</si>
  <si>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</si>
  <si>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</si>
  <si>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</si>
  <si>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</si>
  <si>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</si>
  <si>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</si>
  <si>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</si>
  <si>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</si>
  <si>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</si>
  <si>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</si>
  <si>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</si>
  <si>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</si>
  <si>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</si>
  <si>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</si>
  <si>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</si>
  <si>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</si>
  <si>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</si>
  <si>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</si>
  <si>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</si>
  <si>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</si>
  <si>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</si>
  <si>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</si>
  <si>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</si>
  <si>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</si>
  <si>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</si>
  <si>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</si>
  <si>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</si>
  <si>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</si>
  <si>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</si>
  <si>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</si>
  <si>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</si>
  <si>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</si>
  <si>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</si>
  <si>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</si>
  <si>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</si>
  <si>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</si>
  <si>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</si>
  <si>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</si>
  <si>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</si>
  <si>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</si>
  <si>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</si>
  <si>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</si>
  <si>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</si>
  <si>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</si>
  <si>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</si>
  <si>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</si>
  <si>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</si>
  <si>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</si>
  <si>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</si>
  <si>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</si>
  <si>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</si>
  <si>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</si>
  <si>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</si>
  <si>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</si>
  <si>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</si>
  <si>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</si>
  <si>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</si>
  <si>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</si>
  <si>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</si>
  <si>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</si>
  <si>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</si>
  <si>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</si>
  <si>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</si>
  <si>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</si>
  <si>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</si>
  <si>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</si>
  <si>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</si>
  <si>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</si>
  <si>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</si>
  <si>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</si>
  <si>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</si>
  <si>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</si>
  <si>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</si>
  <si>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</si>
  <si>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</si>
  <si>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</si>
  <si>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</si>
  <si>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</si>
  <si>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</si>
  <si>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</si>
  <si>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</si>
  <si>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</si>
  <si>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</si>
  <si>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</si>
  <si>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</si>
  <si>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</si>
  <si>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</si>
  <si>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</si>
  <si>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</si>
  <si>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</si>
  <si>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</si>
  <si>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</si>
  <si>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</si>
  <si>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</si>
  <si>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</si>
  <si>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</si>
  <si>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</si>
  <si>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</si>
  <si>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</si>
  <si>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</si>
  <si>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</si>
  <si>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</si>
  <si>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</si>
  <si>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</si>
  <si>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</si>
  <si>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</si>
  <si>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</si>
  <si>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</si>
  <si>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</si>
  <si>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</si>
  <si>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</si>
  <si>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</si>
  <si>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</si>
  <si>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</si>
  <si>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</si>
  <si>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</si>
  <si>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</si>
  <si>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</si>
  <si>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</si>
  <si>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</si>
  <si>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</si>
  <si>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</si>
  <si>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</si>
  <si>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</si>
  <si>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</si>
  <si>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</si>
  <si>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</si>
  <si>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</si>
  <si>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</si>
  <si>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</si>
  <si>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</si>
  <si>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</si>
  <si>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</si>
  <si>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</si>
  <si>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</si>
  <si>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</si>
  <si>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</si>
  <si>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</si>
  <si>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</si>
  <si>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</si>
  <si>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</si>
  <si>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</si>
  <si>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</si>
  <si>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</si>
  <si>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</si>
  <si>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</si>
  <si>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</si>
  <si>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</si>
  <si>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</si>
  <si>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</si>
  <si>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</si>
  <si>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</si>
  <si>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</si>
  <si>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</si>
  <si>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</si>
  <si>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</si>
  <si>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</si>
  <si>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</si>
  <si>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</si>
  <si>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</si>
  <si>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</si>
  <si>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</si>
  <si>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</si>
  <si>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</si>
  <si>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</si>
  <si>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</si>
  <si>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</si>
  <si>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</si>
  <si>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</si>
  <si>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</si>
  <si>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</si>
  <si>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</si>
  <si>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</si>
  <si>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</si>
  <si>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</si>
  <si>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</si>
  <si>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</si>
  <si>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</si>
  <si>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</si>
  <si>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</si>
  <si>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</si>
  <si>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</si>
  <si>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</si>
  <si>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</si>
  <si>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</si>
  <si>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</si>
  <si>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</si>
  <si>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</si>
  <si>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</si>
  <si>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</si>
  <si>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</si>
  <si>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</si>
  <si>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</si>
  <si>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</si>
  <si>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</si>
  <si>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</si>
  <si>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</si>
  <si>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</si>
  <si>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</si>
  <si>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</si>
  <si>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</si>
  <si>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</si>
  <si>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</si>
  <si>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</si>
  <si>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</si>
  <si>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</si>
  <si>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</si>
  <si>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</si>
  <si>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</si>
  <si>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</si>
  <si>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</si>
  <si>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</si>
  <si>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</si>
  <si>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</si>
  <si>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</si>
  <si>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</si>
  <si>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</si>
  <si>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</si>
  <si>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</si>
  <si>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</si>
  <si>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</si>
  <si>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</si>
  <si>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</si>
  <si>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</si>
  <si>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</si>
  <si>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</si>
  <si>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</si>
  <si>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</si>
  <si>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</si>
  <si>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</si>
  <si>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</si>
  <si>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</si>
  <si>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</si>
  <si>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</si>
  <si>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</si>
  <si>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</si>
  <si>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</si>
  <si>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</si>
  <si>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</si>
  <si>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</si>
  <si>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</si>
  <si>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</si>
  <si>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</si>
  <si>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</si>
  <si>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</si>
  <si>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</si>
  <si>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</si>
  <si>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</si>
  <si>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</si>
  <si>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</si>
  <si>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</si>
  <si>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</si>
  <si>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</si>
  <si>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</si>
  <si>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</si>
  <si>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</si>
  <si>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</si>
  <si>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</si>
  <si>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</si>
  <si>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</si>
  <si>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</si>
  <si>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</si>
  <si>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</si>
  <si>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</si>
  <si>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</si>
  <si>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</si>
  <si>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</si>
  <si>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</si>
  <si>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</si>
  <si>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</si>
  <si>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</si>
  <si>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</si>
  <si>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</si>
  <si>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</si>
  <si>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</si>
  <si>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</si>
  <si>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</si>
  <si>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</si>
  <si>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</si>
  <si>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</si>
  <si>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</si>
  <si>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</si>
  <si>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</si>
  <si>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</si>
  <si>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</si>
  <si>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</si>
  <si>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</si>
  <si>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</si>
  <si>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</si>
  <si>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</si>
  <si>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</si>
  <si>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</si>
  <si>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</si>
  <si>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</si>
  <si>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</si>
  <si>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</si>
  <si>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</si>
  <si>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</si>
  <si>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</si>
  <si>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</si>
  <si>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</si>
  <si>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</si>
  <si>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</si>
  <si>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</si>
  <si>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</si>
  <si>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</si>
  <si>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</si>
  <si>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</si>
  <si>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</si>
  <si>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</si>
  <si>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</si>
  <si>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</si>
  <si>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</si>
  <si>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</si>
  <si>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</si>
  <si>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</si>
  <si>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</si>
  <si>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</si>
  <si>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</si>
  <si>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</si>
  <si>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</si>
  <si>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</si>
  <si>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</si>
  <si>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</si>
  <si>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</si>
  <si>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</si>
  <si>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</si>
  <si>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</si>
  <si>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</si>
  <si>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</si>
  <si>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</si>
  <si>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</si>
  <si>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</si>
  <si>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</si>
  <si>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</si>
  <si>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</si>
  <si>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</si>
  <si>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</si>
  <si>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</si>
  <si>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</si>
  <si>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</si>
  <si>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</si>
  <si>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</si>
  <si>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</si>
  <si>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</si>
  <si>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</si>
  <si>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</si>
  <si>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</si>
  <si>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</si>
  <si>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</si>
  <si>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</si>
  <si>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</si>
  <si>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</si>
  <si>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</si>
  <si>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</si>
  <si>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</si>
  <si>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</si>
  <si>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</si>
  <si>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</si>
  <si>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</si>
  <si>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</si>
  <si>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</si>
  <si>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</si>
  <si>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</si>
  <si>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</si>
  <si>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</si>
  <si>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</si>
  <si>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</si>
  <si>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</si>
  <si>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</si>
  <si>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</si>
  <si>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</si>
  <si>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</si>
  <si>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</si>
  <si>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</si>
  <si>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</si>
  <si>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</si>
  <si>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</si>
  <si>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</si>
  <si>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</si>
  <si>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</si>
  <si>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</si>
  <si>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</si>
  <si>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</si>
  <si>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</si>
  <si>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</si>
  <si>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</si>
  <si>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</si>
  <si>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</si>
  <si>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</si>
  <si>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</si>
  <si>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</si>
  <si>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</si>
  <si>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</si>
  <si>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</si>
  <si>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</si>
  <si>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</si>
  <si>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</si>
  <si>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</si>
  <si>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</si>
  <si>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</si>
  <si>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</si>
  <si>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</si>
  <si>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</si>
  <si>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</si>
  <si>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</si>
  <si>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</si>
  <si>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</si>
  <si>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</si>
  <si>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</si>
  <si>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</si>
  <si>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</si>
  <si>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</si>
  <si>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</si>
  <si>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</si>
  <si>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</si>
  <si>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</si>
  <si>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</si>
  <si>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</si>
  <si>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</si>
  <si>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</si>
  <si>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</si>
  <si>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</si>
  <si>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</si>
  <si>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</si>
  <si>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</si>
  <si>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</si>
  <si>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</si>
  <si>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</si>
  <si>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</si>
  <si>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</si>
  <si>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</si>
  <si>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</si>
  <si>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</si>
  <si>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</si>
  <si>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</si>
  <si>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</si>
  <si>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</si>
  <si>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</si>
  <si>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</si>
  <si>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</si>
  <si>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</si>
  <si>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</si>
  <si>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</si>
  <si>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</si>
  <si>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</si>
  <si>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</si>
  <si>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</si>
  <si>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</si>
  <si>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</si>
  <si>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</si>
  <si>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</si>
  <si>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</si>
  <si>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</si>
  <si>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</si>
  <si>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</si>
  <si>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</si>
  <si>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</si>
  <si>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</si>
  <si>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</si>
  <si>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</si>
  <si>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</si>
  <si>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</si>
  <si>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</si>
  <si>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</si>
  <si>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</si>
  <si>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</si>
  <si>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</si>
  <si>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</si>
  <si>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</si>
  <si>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</si>
  <si>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</si>
  <si>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</si>
  <si>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</si>
  <si>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</si>
  <si>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</si>
  <si>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</si>
  <si>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</si>
  <si>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</si>
  <si>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</si>
  <si>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</si>
  <si>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</si>
  <si>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</si>
  <si>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</si>
  <si>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</si>
  <si>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</si>
  <si>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</si>
  <si>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</si>
  <si>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</si>
  <si>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</si>
  <si>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</si>
  <si>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</si>
  <si>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</si>
  <si>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</si>
  <si>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</si>
  <si>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</si>
  <si>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</si>
  <si>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</si>
  <si>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</si>
  <si>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</si>
  <si>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</si>
  <si>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</si>
  <si>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</si>
  <si>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</si>
  <si>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</si>
  <si>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</si>
  <si>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</si>
  <si>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</si>
  <si>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</si>
  <si>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</si>
  <si>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</si>
  <si>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</si>
  <si>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</si>
  <si>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</si>
  <si>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</si>
  <si>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</si>
  <si>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</si>
  <si>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</si>
  <si>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</si>
  <si>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</si>
  <si>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</si>
  <si>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</si>
  <si>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</si>
  <si>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</si>
  <si>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</si>
  <si>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</si>
  <si>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</si>
  <si>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</si>
  <si>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</si>
  <si>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</si>
  <si>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</si>
  <si>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</si>
  <si>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</si>
  <si>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</si>
  <si>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</si>
  <si>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</si>
  <si>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</si>
  <si>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</si>
  <si>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</si>
  <si>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</si>
  <si>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</si>
  <si>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</si>
  <si>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</si>
  <si>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</si>
  <si>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</si>
  <si>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</si>
  <si>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</si>
  <si>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</si>
  <si>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</si>
  <si>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</si>
  <si>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</si>
  <si>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</si>
  <si>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</si>
  <si>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</si>
  <si>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</si>
  <si>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</si>
  <si>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</si>
  <si>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</si>
  <si>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</si>
  <si>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</si>
  <si>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</si>
  <si>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</si>
  <si>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</si>
  <si>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</si>
  <si>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</si>
  <si>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</si>
  <si>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</si>
  <si>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</si>
  <si>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</si>
  <si>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</si>
  <si>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</si>
  <si>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</si>
  <si>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</si>
  <si>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</si>
  <si>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</si>
  <si>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</si>
  <si>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</si>
  <si>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</si>
  <si>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</si>
  <si>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</si>
  <si>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</si>
  <si>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</si>
  <si>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</si>
  <si>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</si>
  <si>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</si>
  <si>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</si>
  <si>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</si>
  <si>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</si>
  <si>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</si>
  <si>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</si>
  <si>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</si>
  <si>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</si>
  <si>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</si>
  <si>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</si>
  <si>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</si>
  <si>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</si>
  <si>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</si>
  <si>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</si>
  <si>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</si>
  <si>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</si>
  <si>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</si>
  <si>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</si>
  <si>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</si>
  <si>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</si>
  <si>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</si>
  <si>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</si>
  <si>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</si>
  <si>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</si>
  <si>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</si>
  <si>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</si>
  <si>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</si>
  <si>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</si>
  <si>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</si>
  <si>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</si>
  <si>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</si>
  <si>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</si>
  <si>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</si>
  <si>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</si>
  <si>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</si>
  <si>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</si>
  <si>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</si>
  <si>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</si>
  <si>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</si>
  <si>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</si>
  <si>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</si>
  <si>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</si>
  <si>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</si>
  <si>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</si>
  <si>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</si>
  <si>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</si>
  <si>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</si>
  <si>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</si>
  <si>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</si>
  <si>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</si>
  <si>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</si>
  <si>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</si>
  <si>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</si>
  <si>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</si>
  <si>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</si>
  <si>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</si>
  <si>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</si>
  <si>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</si>
  <si>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</si>
  <si>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</si>
  <si>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</si>
  <si>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</si>
  <si>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</si>
  <si>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</si>
  <si>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</si>
  <si>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</si>
  <si>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</si>
  <si>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</si>
  <si>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</si>
  <si>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</si>
  <si>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</si>
  <si>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</si>
  <si>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</si>
  <si>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</si>
  <si>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</si>
  <si>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</si>
  <si>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</si>
  <si>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</si>
  <si>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</si>
  <si>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</si>
  <si>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</si>
  <si>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</si>
  <si>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</si>
  <si>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</si>
  <si>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</si>
  <si>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</si>
  <si>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</si>
  <si>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</si>
  <si>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</si>
  <si>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</si>
  <si>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</si>
  <si>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</si>
  <si>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</si>
  <si>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</si>
  <si>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</si>
  <si>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</si>
  <si>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</si>
  <si>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</si>
  <si>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</si>
  <si>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</si>
  <si>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</si>
  <si>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</si>
  <si>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</si>
  <si>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</si>
  <si>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</si>
  <si>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</si>
  <si>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</si>
  <si>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</si>
  <si>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</si>
  <si>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</si>
  <si>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</si>
  <si>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</si>
  <si>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</si>
  <si>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</si>
  <si>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</si>
  <si>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</si>
  <si>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</si>
  <si>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</si>
  <si>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</si>
  <si>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</si>
  <si>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</si>
  <si>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</si>
  <si>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</si>
  <si>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</si>
  <si>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</si>
  <si>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</si>
  <si>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</si>
  <si>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</si>
  <si>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</si>
  <si>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</si>
  <si>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</si>
  <si>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</si>
  <si>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</si>
  <si>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</si>
  <si>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</si>
  <si>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</si>
  <si>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</si>
  <si>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</si>
  <si>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</si>
  <si>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</si>
  <si>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</si>
  <si>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</si>
  <si>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</si>
  <si>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</si>
  <si>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</si>
  <si>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</si>
  <si>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</si>
  <si>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</si>
  <si>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</si>
  <si>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</si>
  <si>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</si>
  <si>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</si>
  <si>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</si>
  <si>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</si>
  <si>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</si>
  <si>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</si>
  <si>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</si>
  <si>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</si>
  <si>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</si>
  <si>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</si>
  <si>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</si>
  <si>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</si>
  <si>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</si>
  <si>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</si>
  <si>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</si>
  <si>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</si>
  <si>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</si>
  <si>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</si>
  <si>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</si>
  <si>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</si>
  <si>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</si>
  <si>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</si>
  <si>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</si>
  <si>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</si>
  <si>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</si>
  <si>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</si>
  <si>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</si>
  <si>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</si>
  <si>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</si>
  <si>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</si>
  <si>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</si>
  <si>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</si>
  <si>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</si>
  <si>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</si>
  <si>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</si>
  <si>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</si>
  <si>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</si>
  <si>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</si>
  <si>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</si>
  <si>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</si>
  <si>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</si>
  <si>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</si>
  <si>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</si>
  <si>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</si>
  <si>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</si>
  <si>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</si>
  <si>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</si>
  <si>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</si>
  <si>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</si>
  <si>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</si>
  <si>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</si>
  <si>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</si>
  <si>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</si>
  <si>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</si>
  <si>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</si>
  <si>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</si>
  <si>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</si>
  <si>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</si>
  <si>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</si>
  <si>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</si>
  <si>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</si>
  <si>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</si>
  <si>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</si>
  <si>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</si>
  <si>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</si>
  <si>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</si>
  <si>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</si>
  <si>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</si>
  <si>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</si>
  <si>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</si>
  <si>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</si>
  <si>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</si>
  <si>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</si>
  <si>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</si>
  <si>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</si>
  <si>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</si>
  <si>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</si>
  <si>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</si>
  <si>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</si>
  <si>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</si>
  <si>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</si>
  <si>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</si>
  <si>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</si>
  <si>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</si>
  <si>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</si>
  <si>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</si>
  <si>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</si>
  <si>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</si>
  <si>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</si>
  <si>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</si>
  <si>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</si>
  <si>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</si>
  <si>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</si>
  <si>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</si>
  <si>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</si>
  <si>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</si>
  <si>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</si>
  <si>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</si>
  <si>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</si>
  <si>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</si>
  <si>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</si>
  <si>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</si>
  <si>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</si>
  <si>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</si>
  <si>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</si>
  <si>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</si>
  <si>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</si>
  <si>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</si>
  <si>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</si>
  <si>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</si>
  <si>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</si>
  <si>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</si>
  <si>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</si>
  <si>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</si>
  <si>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</si>
  <si>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</si>
  <si>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</si>
  <si>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</si>
  <si>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</si>
  <si>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</si>
  <si>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</si>
  <si>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</si>
  <si>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</si>
  <si>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</si>
  <si>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</si>
  <si>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</si>
  <si>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</si>
  <si>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</si>
  <si>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</si>
  <si>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</si>
  <si>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</si>
  <si>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</si>
  <si>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</si>
  <si>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</si>
  <si>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</si>
  <si>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</si>
  <si>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</si>
  <si>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</si>
  <si>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</si>
  <si>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</si>
  <si>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</si>
  <si>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</si>
  <si>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</si>
  <si>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</si>
  <si>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</si>
  <si>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</si>
  <si>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</si>
  <si>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</si>
  <si>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</si>
  <si>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</si>
  <si>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</si>
  <si>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</si>
  <si>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</si>
  <si>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</si>
  <si>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</si>
  <si>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</si>
  <si>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</si>
  <si>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</si>
  <si>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</si>
  <si>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</si>
  <si>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</si>
  <si>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</si>
  <si>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</si>
  <si>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</si>
  <si>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</si>
  <si>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</si>
  <si>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</si>
  <si>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</si>
  <si>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</si>
  <si>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</si>
  <si>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</si>
  <si>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</si>
  <si>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</si>
  <si>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</si>
  <si>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</si>
  <si>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</si>
  <si>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</si>
  <si>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</si>
  <si>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</si>
  <si>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</si>
  <si>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</si>
  <si>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</si>
  <si>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</si>
  <si>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</si>
  <si>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</si>
  <si>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</si>
  <si>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</si>
  <si>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</si>
  <si>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</si>
  <si>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</si>
  <si>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</si>
  <si>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</si>
  <si>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</si>
  <si>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</si>
  <si>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</si>
  <si>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</si>
  <si>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</si>
  <si>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</si>
  <si>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</si>
  <si>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</si>
  <si>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</si>
  <si>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</si>
  <si>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</si>
  <si>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</si>
  <si>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</si>
  <si>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</si>
  <si>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</si>
  <si>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</si>
  <si>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</si>
  <si>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</si>
  <si>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</si>
  <si>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</si>
  <si>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</si>
  <si>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</si>
  <si>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</si>
  <si>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</si>
  <si>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</si>
  <si>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</si>
  <si>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</si>
  <si>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</si>
  <si>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</si>
  <si>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</si>
  <si>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</si>
  <si>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</si>
  <si>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</si>
  <si>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</si>
  <si>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</si>
  <si>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</si>
  <si>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</si>
  <si>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</si>
  <si>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</si>
  <si>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</si>
  <si>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</si>
  <si>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</si>
  <si>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</si>
  <si>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</si>
  <si>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</si>
  <si>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</si>
  <si>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</si>
  <si>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</si>
  <si>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</si>
  <si>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</si>
  <si>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</si>
  <si>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</si>
  <si>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</si>
  <si>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</si>
  <si>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</si>
  <si>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</si>
  <si>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</si>
  <si>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</si>
  <si>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</si>
  <si>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</si>
  <si>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</si>
  <si>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</si>
  <si>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</si>
  <si>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</si>
  <si>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</si>
  <si>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</si>
  <si>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</si>
  <si>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</si>
  <si>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</si>
  <si>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</si>
  <si>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</si>
  <si>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</si>
  <si>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</si>
  <si>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</si>
  <si>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</si>
  <si>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</si>
  <si>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</si>
  <si>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</si>
  <si>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</si>
  <si>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</si>
  <si>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</si>
  <si>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</si>
  <si>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</si>
  <si>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</si>
  <si>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</si>
  <si>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</si>
  <si>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</si>
  <si>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</si>
  <si>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</si>
  <si>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</si>
  <si>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</si>
  <si>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</si>
  <si>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</si>
  <si>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</si>
  <si>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</si>
  <si>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</si>
  <si>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</si>
  <si>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</si>
  <si>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</si>
  <si>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</si>
  <si>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</si>
  <si>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</si>
  <si>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</si>
  <si>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</si>
  <si>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</si>
  <si>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</si>
  <si>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</si>
  <si>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</si>
  <si>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</si>
  <si>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</si>
  <si>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</si>
  <si>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</si>
  <si>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</si>
  <si>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</si>
  <si>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</si>
  <si>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</si>
  <si>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</si>
  <si>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</si>
  <si>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</si>
  <si>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</si>
  <si>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</si>
  <si>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</si>
  <si>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</si>
  <si>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</si>
  <si>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</si>
  <si>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</si>
  <si>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</si>
  <si>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</si>
  <si>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</si>
  <si>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</si>
  <si>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</si>
  <si>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</si>
  <si>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</si>
  <si>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</si>
  <si>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</si>
  <si>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</si>
  <si>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</si>
  <si>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</si>
  <si>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</si>
  <si>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</si>
  <si>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</si>
  <si>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</si>
  <si>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</si>
  <si>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</si>
  <si>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</si>
  <si>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</si>
  <si>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</si>
  <si>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</si>
  <si>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</si>
  <si>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</si>
  <si>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</si>
  <si>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</si>
  <si>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</si>
  <si>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</si>
  <si>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</si>
  <si>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</si>
  <si>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</si>
  <si>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</si>
  <si>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</si>
  <si>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</si>
  <si>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</si>
  <si>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</si>
  <si>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</si>
  <si>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</si>
  <si>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</si>
  <si>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</si>
  <si>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</si>
  <si>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</si>
  <si>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</si>
  <si>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</si>
  <si>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</si>
  <si>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</si>
  <si>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</si>
  <si>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</si>
  <si>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</si>
  <si>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</si>
  <si>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</si>
  <si>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</si>
  <si>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</si>
  <si>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</si>
  <si>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</si>
  <si>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</si>
  <si>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</si>
  <si>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</si>
  <si>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</si>
  <si>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</si>
  <si>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</si>
  <si>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</si>
  <si>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</si>
  <si>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</si>
  <si>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</si>
  <si>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</si>
  <si>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</si>
  <si>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</si>
  <si>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</si>
  <si>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</si>
  <si>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</si>
  <si>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</si>
  <si>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</si>
  <si>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</si>
  <si>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</si>
  <si>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</si>
  <si>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</si>
  <si>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</si>
  <si>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</si>
  <si>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</si>
  <si>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</si>
  <si>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</si>
  <si>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</si>
  <si>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</si>
  <si>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</si>
  <si>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</si>
  <si>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</si>
  <si>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</si>
  <si>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</si>
  <si>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</si>
  <si>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</si>
  <si>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</si>
  <si>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</si>
  <si>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</si>
  <si>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</si>
  <si>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</si>
  <si>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</si>
  <si>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</si>
  <si>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</si>
  <si>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</si>
  <si>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</si>
  <si>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</si>
  <si>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</si>
  <si>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</si>
  <si>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</si>
  <si>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</si>
  <si>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</si>
  <si>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</si>
  <si>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</si>
  <si>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</si>
  <si>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</si>
  <si>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</si>
  <si>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</si>
  <si>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</si>
  <si>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</si>
  <si>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</si>
  <si>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</si>
  <si>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</si>
  <si>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</si>
  <si>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</si>
  <si>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</si>
  <si>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</si>
  <si>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</si>
  <si>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</si>
  <si>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</si>
  <si>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</si>
  <si>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</si>
  <si>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</si>
  <si>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</si>
  <si>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</si>
  <si>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</si>
  <si>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</si>
  <si>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</si>
  <si>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</si>
  <si>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</si>
  <si>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</si>
  <si>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</si>
  <si>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</si>
  <si>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</si>
  <si>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</si>
  <si>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</si>
  <si>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</si>
  <si>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</si>
  <si>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</si>
  <si>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</si>
  <si>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</si>
  <si>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</si>
  <si>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</si>
  <si>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</si>
  <si>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</si>
  <si>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</si>
  <si>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</si>
  <si>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</si>
  <si>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</si>
  <si>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</si>
  <si>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</si>
  <si>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</si>
  <si>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</si>
  <si>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</si>
  <si>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</si>
  <si>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</si>
  <si>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</si>
  <si>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</si>
  <si>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</si>
  <si>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</si>
  <si>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</si>
  <si>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</si>
  <si>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</si>
  <si>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</si>
  <si>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</si>
  <si>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</si>
  <si>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</si>
  <si>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</si>
  <si>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</si>
  <si>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</si>
  <si>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</si>
  <si>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</si>
  <si>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</si>
  <si>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</si>
  <si>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</si>
  <si>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</si>
  <si>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</si>
  <si>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</si>
  <si>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</si>
  <si>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</si>
  <si>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</si>
  <si>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</si>
  <si>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</si>
  <si>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</si>
  <si>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</si>
  <si>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</si>
  <si>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</si>
  <si>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</si>
  <si>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</si>
  <si>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</si>
  <si>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</si>
  <si>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</si>
  <si>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</si>
  <si>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</si>
  <si>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</si>
  <si>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</si>
  <si>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</si>
  <si>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</si>
  <si>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</si>
  <si>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</si>
  <si>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</si>
  <si>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</si>
  <si>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</si>
  <si>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</si>
  <si>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</si>
  <si>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</si>
  <si>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</si>
  <si>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</si>
  <si>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</si>
  <si>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</si>
  <si>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</si>
  <si>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</si>
  <si>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</si>
  <si>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</si>
  <si>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</si>
  <si>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</si>
  <si>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</si>
  <si>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</si>
  <si>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</si>
  <si>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</si>
  <si>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</si>
  <si>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</si>
  <si>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</si>
  <si>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</si>
  <si>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</si>
  <si>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</si>
  <si>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</si>
  <si>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</si>
  <si>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</si>
  <si>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</si>
  <si>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</si>
  <si>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</si>
  <si>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</si>
  <si>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</si>
  <si>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</si>
  <si>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</si>
  <si>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</si>
  <si>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</si>
  <si>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</si>
  <si>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</si>
  <si>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</si>
  <si>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</si>
  <si>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</si>
  <si>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</si>
  <si>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</si>
  <si>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</si>
  <si>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</si>
  <si>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</si>
  <si>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</si>
  <si>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</si>
  <si>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</si>
  <si>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</si>
  <si>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</si>
  <si>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</si>
  <si>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</si>
  <si>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</si>
  <si>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</si>
  <si>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</si>
  <si>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</si>
  <si>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</si>
  <si>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</si>
  <si>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</si>
  <si>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</si>
  <si>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</si>
  <si>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</si>
  <si>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</si>
  <si>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</si>
  <si>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</si>
  <si>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</si>
  <si>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</si>
  <si>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</si>
  <si>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</si>
  <si>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</si>
  <si>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</si>
  <si>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</si>
  <si>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</si>
  <si>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</si>
  <si>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</si>
  <si>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</si>
  <si>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</si>
  <si>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</si>
  <si>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</si>
  <si>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</si>
  <si>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</si>
  <si>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</si>
  <si>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</si>
  <si>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</si>
  <si>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</si>
  <si>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</si>
  <si>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</si>
  <si>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</si>
  <si>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</si>
  <si>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</si>
  <si>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</si>
  <si>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</si>
  <si>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</si>
  <si>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</si>
  <si>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</si>
  <si>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</si>
  <si>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</si>
  <si>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</si>
  <si>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</si>
  <si>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</si>
  <si>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</si>
  <si>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</si>
  <si>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</si>
  <si>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</si>
  <si>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</si>
  <si>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</si>
  <si>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</si>
  <si>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</si>
  <si>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</si>
  <si>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</si>
  <si>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</si>
  <si>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</si>
  <si>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</si>
  <si>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</si>
  <si>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</si>
  <si>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</si>
  <si>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</si>
  <si>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</si>
  <si>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</si>
  <si>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</si>
  <si>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</si>
  <si>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</si>
  <si>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</si>
  <si>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</si>
  <si>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</si>
  <si>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</si>
  <si>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</si>
  <si>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</si>
  <si>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</si>
  <si>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</si>
  <si>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</si>
  <si>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</si>
  <si>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</si>
  <si>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</si>
  <si>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</si>
  <si>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</si>
  <si>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</si>
  <si>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</si>
  <si>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</si>
  <si>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</si>
  <si>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</si>
  <si>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</si>
  <si>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</si>
  <si>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</si>
  <si>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</si>
  <si>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</si>
  <si>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</si>
  <si>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</si>
  <si>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</si>
  <si>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</si>
  <si>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</si>
  <si>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</si>
  <si>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</si>
  <si>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</si>
  <si>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</si>
  <si>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</si>
  <si>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</si>
  <si>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</si>
  <si>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</si>
  <si>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</si>
  <si>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</si>
  <si>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</si>
  <si>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</si>
  <si>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</si>
  <si>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</si>
  <si>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</si>
  <si>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</si>
  <si>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</si>
  <si>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</si>
  <si>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</si>
  <si>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</si>
  <si>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</si>
  <si>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</si>
  <si>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</si>
  <si>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</si>
  <si>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</si>
  <si>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</si>
  <si>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</si>
  <si>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</si>
  <si>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</si>
  <si>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</si>
  <si>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</si>
  <si>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</si>
  <si>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</si>
  <si>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</si>
  <si>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</si>
  <si>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</si>
  <si>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</si>
  <si>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</si>
  <si>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</si>
  <si>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</si>
  <si>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</si>
  <si>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</si>
  <si>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</si>
  <si>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</si>
  <si>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</si>
  <si>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</si>
  <si>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</si>
  <si>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</si>
  <si>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</si>
  <si>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</si>
  <si>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</si>
  <si>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</si>
  <si>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</si>
  <si>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</si>
  <si>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</si>
  <si>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</si>
  <si>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</si>
  <si>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</si>
  <si>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</si>
  <si>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</si>
  <si>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</si>
  <si>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</si>
  <si>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</si>
  <si>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</si>
  <si>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</si>
  <si>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</si>
  <si>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</si>
  <si>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</si>
  <si>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</si>
  <si>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</si>
  <si>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</si>
  <si>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</si>
  <si>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</si>
  <si>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</si>
  <si>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</si>
  <si>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</si>
  <si>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</si>
  <si>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</si>
  <si>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</si>
  <si>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</si>
  <si>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</si>
  <si>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</si>
  <si>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</si>
  <si>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</si>
  <si>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</si>
  <si>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</si>
  <si>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</si>
  <si>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</si>
  <si>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</si>
  <si>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</si>
  <si>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</si>
  <si>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</si>
  <si>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</si>
  <si>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</si>
  <si>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</si>
  <si>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</si>
  <si>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</si>
  <si>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</si>
  <si>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</si>
  <si>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</si>
  <si>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</si>
  <si>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</si>
  <si>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</si>
  <si>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</si>
  <si>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</si>
  <si>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</si>
  <si>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</si>
  <si>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</si>
  <si>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</si>
  <si>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</si>
  <si>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</si>
  <si>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</si>
  <si>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</si>
  <si>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</si>
  <si>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</si>
  <si>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</si>
  <si>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</si>
  <si>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</si>
  <si>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</si>
  <si>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</si>
  <si>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</si>
  <si>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</si>
  <si>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</si>
  <si>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</si>
  <si>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</si>
  <si>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</si>
  <si>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</si>
  <si>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</si>
  <si>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</si>
  <si>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</si>
  <si>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</si>
  <si>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</si>
  <si>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</si>
  <si>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</si>
  <si>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</si>
  <si>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</si>
  <si>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</si>
  <si>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</si>
  <si>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</si>
  <si>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</si>
  <si>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</si>
  <si>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</si>
  <si>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</si>
  <si>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</si>
  <si>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</si>
  <si>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</si>
  <si>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</si>
  <si>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</si>
  <si>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</si>
  <si>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</si>
  <si>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</si>
  <si>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</si>
  <si>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</si>
  <si>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</si>
  <si>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</si>
  <si>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</si>
  <si>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</si>
  <si>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</si>
  <si>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</si>
  <si>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</si>
  <si>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</si>
  <si>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</si>
  <si>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</si>
  <si>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</si>
  <si>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</si>
  <si>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</si>
  <si>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</si>
  <si>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</si>
  <si>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</si>
  <si>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</si>
  <si>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</si>
  <si>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</si>
  <si>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</si>
  <si>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</si>
  <si>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</si>
  <si>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</si>
  <si>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</si>
  <si>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</si>
  <si>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</si>
  <si>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</si>
  <si>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</si>
  <si>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</si>
  <si>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</si>
  <si>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</si>
  <si>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</si>
  <si>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</si>
  <si>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</si>
  <si>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</si>
  <si>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</si>
  <si>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</si>
  <si>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</si>
  <si>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</si>
  <si>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</si>
  <si>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</si>
  <si>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</si>
  <si>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</si>
  <si>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</si>
  <si>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</si>
  <si>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</si>
  <si>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</si>
  <si>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</si>
  <si>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</si>
  <si>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</si>
  <si>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</si>
  <si>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</si>
  <si>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</si>
  <si>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</si>
  <si>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</si>
  <si>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</si>
  <si>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</si>
  <si>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</si>
  <si>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</si>
  <si>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</si>
  <si>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</si>
  <si>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</si>
  <si>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</si>
  <si>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</si>
  <si>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</si>
  <si>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</si>
  <si>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</si>
  <si>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</si>
  <si>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</si>
  <si>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</si>
  <si>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</si>
  <si>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</si>
  <si>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</si>
  <si>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</si>
  <si>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</si>
  <si>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</si>
  <si>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</si>
  <si>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</si>
  <si>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</si>
  <si>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</si>
  <si>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</si>
  <si>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</si>
  <si>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</si>
  <si>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</si>
  <si>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</si>
  <si>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</si>
  <si>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</si>
  <si>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</si>
  <si>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</si>
  <si>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</si>
  <si>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</si>
  <si>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</si>
  <si>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</si>
  <si>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</si>
  <si>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</si>
  <si>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</si>
  <si>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</si>
  <si>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</si>
  <si>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</si>
  <si>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</si>
  <si>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</si>
  <si>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</si>
  <si>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</si>
  <si>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</si>
  <si>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</si>
  <si>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</si>
  <si>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</si>
  <si>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</si>
  <si>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</si>
  <si>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</si>
  <si>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</si>
  <si>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</si>
  <si>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</si>
  <si>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</si>
  <si>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</si>
  <si>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</si>
  <si>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</si>
  <si>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</si>
  <si>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</si>
  <si>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</si>
  <si>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</si>
  <si>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</si>
  <si>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</si>
  <si>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</si>
  <si>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</si>
  <si>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</si>
  <si>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</si>
  <si>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</si>
  <si>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</si>
  <si>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</si>
  <si>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</si>
  <si>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</si>
  <si>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</si>
  <si>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</si>
  <si>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</si>
  <si>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</si>
  <si>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</si>
  <si>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</si>
  <si>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</si>
  <si>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</si>
  <si>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</si>
  <si>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</si>
  <si>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</si>
  <si>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</si>
  <si>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</si>
  <si>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</si>
  <si>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</si>
  <si>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</si>
  <si>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</si>
  <si>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</si>
  <si>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</si>
  <si>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</si>
  <si>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</si>
  <si>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</si>
  <si>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</si>
  <si>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</si>
  <si>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</si>
  <si>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</si>
  <si>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</si>
  <si>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</si>
  <si>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</si>
  <si>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</si>
  <si>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</si>
  <si>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</si>
  <si>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</si>
  <si>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</si>
  <si>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</si>
  <si>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</si>
  <si>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</si>
  <si>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</si>
  <si>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</si>
  <si>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</si>
  <si>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</si>
  <si>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</si>
  <si>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</si>
  <si>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</si>
  <si>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</si>
  <si>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</si>
  <si>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</si>
  <si>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</si>
  <si>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</si>
  <si>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</si>
  <si>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</si>
  <si>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</si>
  <si>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</si>
  <si>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</si>
  <si>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</si>
  <si>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</si>
  <si>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</si>
  <si>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</si>
  <si>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</si>
  <si>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</si>
  <si>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</si>
  <si>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</si>
  <si>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</si>
  <si>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</si>
  <si>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</si>
  <si>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</si>
  <si>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</si>
  <si>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</si>
  <si>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</si>
  <si>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</si>
  <si>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</si>
  <si>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</si>
  <si>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</si>
  <si>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</si>
  <si>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</si>
  <si>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</si>
  <si>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</si>
  <si>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</si>
  <si>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</si>
  <si>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</si>
  <si>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</si>
  <si>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</si>
  <si>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</si>
  <si>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</si>
  <si>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</si>
  <si>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</si>
  <si>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</si>
  <si>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</si>
  <si>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</si>
  <si>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</si>
  <si>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</si>
  <si>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</si>
  <si>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</si>
  <si>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</si>
  <si>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</si>
  <si>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</si>
  <si>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</si>
  <si>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</si>
  <si>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</si>
  <si>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</si>
  <si>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</si>
  <si>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</si>
  <si>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</si>
  <si>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</si>
  <si>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</si>
  <si>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</si>
  <si>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</si>
  <si>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</si>
  <si>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</si>
  <si>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</si>
  <si>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</si>
  <si>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</si>
  <si>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</si>
  <si>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</si>
  <si>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</si>
  <si>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</si>
  <si>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</si>
  <si>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</si>
  <si>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</si>
  <si>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</si>
  <si>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</si>
  <si>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</si>
  <si>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</si>
  <si>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</si>
  <si>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</si>
  <si>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</si>
  <si>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</si>
  <si>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</si>
  <si>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</si>
  <si>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</si>
  <si>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</si>
  <si>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</si>
  <si>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</si>
  <si>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</si>
  <si>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</si>
  <si>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</si>
  <si>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</si>
  <si>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</si>
  <si>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</si>
  <si>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</si>
  <si>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</si>
  <si>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</si>
  <si>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</si>
  <si>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</si>
  <si>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</si>
  <si>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</si>
  <si>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</si>
  <si>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</si>
  <si>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</si>
  <si>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</si>
  <si>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</si>
  <si>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</si>
  <si>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</si>
  <si>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</si>
  <si>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</si>
  <si>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</si>
  <si>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</si>
  <si>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</si>
  <si>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</si>
  <si>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</si>
  <si>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</si>
  <si>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</si>
  <si>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</si>
  <si>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</si>
  <si>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</si>
  <si>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</si>
  <si>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</si>
  <si>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</si>
  <si>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</si>
  <si>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</si>
  <si>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</si>
  <si>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</si>
  <si>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</si>
  <si>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</si>
  <si>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</si>
  <si>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</si>
  <si>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</si>
  <si>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</si>
  <si>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</si>
  <si>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</si>
  <si>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</si>
  <si>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</si>
  <si>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</si>
  <si>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</si>
  <si>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</si>
  <si>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</si>
  <si>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</si>
  <si>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</si>
  <si>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</si>
  <si>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</si>
  <si>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</si>
  <si>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</si>
  <si>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</si>
  <si>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</si>
  <si>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</si>
  <si>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</si>
  <si>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</si>
  <si>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</si>
  <si>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</si>
  <si>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</si>
  <si>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</si>
  <si>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</si>
  <si>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</si>
  <si>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</si>
  <si>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</si>
  <si>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</si>
  <si>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</si>
  <si>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</si>
  <si>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</si>
  <si>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</si>
  <si>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</si>
  <si>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</si>
  <si>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</si>
  <si>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</si>
  <si>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</si>
  <si>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</si>
  <si>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</si>
  <si>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</si>
  <si>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</si>
  <si>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</si>
  <si>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</si>
  <si>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</si>
  <si>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</si>
  <si>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</si>
  <si>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</si>
  <si>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</si>
  <si>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</si>
  <si>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</si>
  <si>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</si>
  <si>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</si>
  <si>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</si>
  <si>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</si>
  <si>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</si>
  <si>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</si>
  <si>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</si>
  <si>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</si>
  <si>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</si>
  <si>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</si>
  <si>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</si>
  <si>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</si>
  <si>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</si>
  <si>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</si>
  <si>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</si>
  <si>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</si>
  <si>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</si>
  <si>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</si>
  <si>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</si>
  <si>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</si>
  <si>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</si>
  <si>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</si>
  <si>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</si>
  <si>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</si>
  <si>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</si>
  <si>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</si>
  <si>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</si>
  <si>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</si>
  <si>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</si>
  <si>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</si>
  <si>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</si>
  <si>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</si>
  <si>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</si>
  <si>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</si>
  <si>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</si>
  <si>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</si>
  <si>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</si>
  <si>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</si>
  <si>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</si>
  <si>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</si>
  <si>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</si>
  <si>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</si>
  <si>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</si>
  <si>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</si>
  <si>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</si>
  <si>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</si>
  <si>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</si>
  <si>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</si>
  <si>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</si>
  <si>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</si>
  <si>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</si>
  <si>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</si>
  <si>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</si>
  <si>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</si>
  <si>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</si>
  <si>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</si>
  <si>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</si>
  <si>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</si>
  <si>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</si>
  <si>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</si>
  <si>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</si>
  <si>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</si>
  <si>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</si>
  <si>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</si>
  <si>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</si>
  <si>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</si>
  <si>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</si>
  <si>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</si>
  <si>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</si>
  <si>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</si>
  <si>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</si>
  <si>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</si>
  <si>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</si>
  <si>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</si>
  <si>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</si>
  <si>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</si>
  <si>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</si>
  <si>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</si>
  <si>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</si>
  <si>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</si>
  <si>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</si>
  <si>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</si>
  <si>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</si>
  <si>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</si>
  <si>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</si>
  <si>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</si>
  <si>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</si>
  <si>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</si>
  <si>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</si>
  <si>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</si>
  <si>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</si>
  <si>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</si>
  <si>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</si>
  <si>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</si>
  <si>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</si>
  <si>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</si>
  <si>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</si>
  <si>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</si>
  <si>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</si>
  <si>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</si>
  <si>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</si>
  <si>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</si>
  <si>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</si>
  <si>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</si>
  <si>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</si>
  <si>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</si>
  <si>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</si>
  <si>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</si>
  <si>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</si>
  <si>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</si>
  <si>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</si>
  <si>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</si>
  <si>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</si>
  <si>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</si>
  <si>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</si>
  <si>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</si>
  <si>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</si>
  <si>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</si>
  <si>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</si>
  <si>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</si>
  <si>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</si>
  <si>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</si>
  <si>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</si>
  <si>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</si>
  <si>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</si>
  <si>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</si>
  <si>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</si>
  <si>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</si>
  <si>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</si>
  <si>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</si>
  <si>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</si>
  <si>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</si>
  <si>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</si>
  <si>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</si>
  <si>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</si>
  <si>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</si>
  <si>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</si>
  <si>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</si>
  <si>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</si>
  <si>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</si>
  <si>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</si>
  <si>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</si>
  <si>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</si>
  <si>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</si>
  <si>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</si>
  <si>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</si>
  <si>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</si>
  <si>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</si>
  <si>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</si>
  <si>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</si>
  <si>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</si>
  <si>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</si>
  <si>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</si>
  <si>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</si>
  <si>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</si>
  <si>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</si>
  <si>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</si>
  <si>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</si>
  <si>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</si>
  <si>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</si>
  <si>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</si>
  <si>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</si>
  <si>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</si>
  <si>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</si>
  <si>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</si>
  <si>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</si>
  <si>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</si>
  <si>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</si>
  <si>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</si>
  <si>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</si>
  <si>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</si>
  <si>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</si>
  <si>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</si>
  <si>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</si>
  <si>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</si>
  <si>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</si>
  <si>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</si>
  <si>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</si>
  <si>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</si>
  <si>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</si>
  <si>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</si>
  <si>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</si>
  <si>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</si>
  <si>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</si>
  <si>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</si>
  <si>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</si>
  <si>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</si>
  <si>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</si>
  <si>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</si>
  <si>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</si>
  <si>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</si>
  <si>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</si>
  <si>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</si>
  <si>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</si>
  <si>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</si>
  <si>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</si>
  <si>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</si>
  <si>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</si>
  <si>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</si>
  <si>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</si>
  <si>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</si>
  <si>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</si>
  <si>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</si>
  <si>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</si>
  <si>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</si>
  <si>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</si>
  <si>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</si>
  <si>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</si>
  <si>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</si>
  <si>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</si>
  <si>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</si>
  <si>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</si>
  <si>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</si>
  <si>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</si>
  <si>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</si>
  <si>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</si>
  <si>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</si>
  <si>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</si>
  <si>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</si>
  <si>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</si>
  <si>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</si>
  <si>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</si>
  <si>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</si>
  <si>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</si>
  <si>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</si>
  <si>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</si>
  <si>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</si>
  <si>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</si>
  <si>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</si>
  <si>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</si>
  <si>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</si>
  <si>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</si>
  <si>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</si>
  <si>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</si>
  <si>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</si>
  <si>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</si>
  <si>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</si>
  <si>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</si>
  <si>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</si>
  <si>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</si>
  <si>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</si>
  <si>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</si>
  <si>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</si>
  <si>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</si>
  <si>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</si>
  <si>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</si>
  <si>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</si>
  <si>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</si>
  <si>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</si>
  <si>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</si>
  <si>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</si>
  <si>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</si>
  <si>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</si>
  <si>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</si>
  <si>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</si>
  <si>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</si>
  <si>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</si>
  <si>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</si>
  <si>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</si>
  <si>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</si>
  <si>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</si>
  <si>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</si>
  <si>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</si>
  <si>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</si>
  <si>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</si>
  <si>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</si>
  <si>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</si>
  <si>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</si>
  <si>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</si>
  <si>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</si>
  <si>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</si>
  <si>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</si>
  <si>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</si>
  <si>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</si>
  <si>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</si>
  <si>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</si>
  <si>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</si>
  <si>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</si>
  <si>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</si>
  <si>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</si>
  <si>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</si>
  <si>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</si>
  <si>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</si>
  <si>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</si>
  <si>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</si>
  <si>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</si>
  <si>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</si>
  <si>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</si>
  <si>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</si>
  <si>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</si>
  <si>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</si>
  <si>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</si>
  <si>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</si>
  <si>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</si>
  <si>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</si>
  <si>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</si>
  <si>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</si>
  <si>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</si>
  <si>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</si>
  <si>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</si>
  <si>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</si>
  <si>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</si>
  <si>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</si>
  <si>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</si>
  <si>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</si>
  <si>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</si>
  <si>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</si>
  <si>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</si>
  <si>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</si>
  <si>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</si>
  <si>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</si>
  <si>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</si>
  <si>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</si>
  <si>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</si>
  <si>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</si>
  <si>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</si>
  <si>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</si>
  <si>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</si>
  <si>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</si>
  <si>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</si>
  <si>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</si>
  <si>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</si>
  <si>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</si>
  <si>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</si>
  <si>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</si>
  <si>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</si>
  <si>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</si>
  <si>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</si>
  <si>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</si>
  <si>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</si>
  <si>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</si>
  <si>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</si>
  <si>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</si>
  <si>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</si>
  <si>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</si>
  <si>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</si>
  <si>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</si>
  <si>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</si>
  <si>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</si>
  <si>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</si>
  <si>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</si>
  <si>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</si>
  <si>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</si>
  <si>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</si>
  <si>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</si>
  <si>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</si>
  <si>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</si>
  <si>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</si>
  <si>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</si>
  <si>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</si>
  <si>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</si>
  <si>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</si>
  <si>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</si>
  <si>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</si>
  <si>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</si>
  <si>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</si>
  <si>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</si>
  <si>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</si>
  <si>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</si>
  <si>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</si>
  <si>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</si>
  <si>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</si>
  <si>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</si>
  <si>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</si>
  <si>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</si>
  <si>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</si>
  <si>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</si>
  <si>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</si>
  <si>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</si>
  <si>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</si>
  <si>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</si>
  <si>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</si>
  <si>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</si>
  <si>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</si>
  <si>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</si>
  <si>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</si>
  <si>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</si>
  <si>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</si>
  <si>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</si>
  <si>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</si>
  <si>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</si>
  <si>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</si>
  <si>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</si>
  <si>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</si>
  <si>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</si>
  <si>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</si>
  <si>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</si>
  <si>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</si>
  <si>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</si>
  <si>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</si>
  <si>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</si>
  <si>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</si>
  <si>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</si>
  <si>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</si>
  <si>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</si>
  <si>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</si>
  <si>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</si>
  <si>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</si>
  <si>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</si>
  <si>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</si>
  <si>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</si>
  <si>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</si>
  <si>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</si>
  <si>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</si>
  <si>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</si>
  <si>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</si>
  <si>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</si>
  <si>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</si>
  <si>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</si>
  <si>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</si>
  <si>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</si>
  <si>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</si>
  <si>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</si>
  <si>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</si>
  <si>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</si>
  <si>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</si>
  <si>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</si>
  <si>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</si>
  <si>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</si>
  <si>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</si>
  <si>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</si>
  <si>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</si>
  <si>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</si>
  <si>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</si>
  <si>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</si>
  <si>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</si>
  <si>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</si>
  <si>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</si>
  <si>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</si>
  <si>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</si>
  <si>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</si>
  <si>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</si>
  <si>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</si>
  <si>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</si>
  <si>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</si>
  <si>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</si>
  <si>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</si>
  <si>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</si>
  <si>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</si>
  <si>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</si>
  <si>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</si>
  <si>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</si>
  <si>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</si>
  <si>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</si>
  <si>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</si>
  <si>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</si>
  <si>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</si>
  <si>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</si>
  <si>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</si>
  <si>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</si>
  <si>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</si>
  <si>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</si>
  <si>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</si>
  <si>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</si>
  <si>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</si>
  <si>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</si>
  <si>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</si>
  <si>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</si>
  <si>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</si>
  <si>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</si>
  <si>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</si>
  <si>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</si>
  <si>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</si>
  <si>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</si>
  <si>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</si>
  <si>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</si>
  <si>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</si>
  <si>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</si>
  <si>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</si>
  <si>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</si>
  <si>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</si>
  <si>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</si>
  <si>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</si>
  <si>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</si>
  <si>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</si>
  <si>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</si>
  <si>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</si>
  <si>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</si>
  <si>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</si>
  <si>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</si>
  <si>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</si>
  <si>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</si>
  <si>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</si>
  <si>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</si>
  <si>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</si>
  <si>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</si>
  <si>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</si>
  <si>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</si>
  <si>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</si>
  <si>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</si>
  <si>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</si>
  <si>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</si>
  <si>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</si>
  <si>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</si>
  <si>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</si>
  <si>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</si>
  <si>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</si>
  <si>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</si>
  <si>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</si>
  <si>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</si>
  <si>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</si>
  <si>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</si>
  <si>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</si>
  <si>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</si>
  <si>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</si>
  <si>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</si>
  <si>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</si>
  <si>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</si>
  <si>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</si>
  <si>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</si>
  <si>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</si>
  <si>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</si>
  <si>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</si>
  <si>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</si>
  <si>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</si>
  <si>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</si>
  <si>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</si>
  <si>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</si>
  <si>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</si>
  <si>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</si>
  <si>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</si>
  <si>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</si>
  <si>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</si>
  <si>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</si>
  <si>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</si>
  <si>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</si>
  <si>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</si>
  <si>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</si>
  <si>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</si>
  <si>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</si>
  <si>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</si>
  <si>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</si>
  <si>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</si>
  <si>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</si>
  <si>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</si>
  <si>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</si>
  <si>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</si>
  <si>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</si>
  <si>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</si>
  <si>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</si>
  <si>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</si>
  <si>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</si>
  <si>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</si>
  <si>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</si>
  <si>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</si>
  <si>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</si>
  <si>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</si>
  <si>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</si>
  <si>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</si>
  <si>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</si>
  <si>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</si>
  <si>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</si>
  <si>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</si>
  <si>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</si>
  <si>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</si>
  <si>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</si>
  <si>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</si>
  <si>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</si>
  <si>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</si>
  <si>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</si>
  <si>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</si>
  <si>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</si>
  <si>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</si>
  <si>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</si>
  <si>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</si>
  <si>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</si>
  <si>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</si>
  <si>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</si>
  <si>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</si>
  <si>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</si>
  <si>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</si>
  <si>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</si>
  <si>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</si>
  <si>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</si>
  <si>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</si>
  <si>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</si>
  <si>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</si>
  <si>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</si>
  <si>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</si>
  <si>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</si>
  <si>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</si>
  <si>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</si>
  <si>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</si>
  <si>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</si>
  <si>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</si>
  <si>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</si>
  <si>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</si>
  <si>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</si>
  <si>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</si>
  <si>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</si>
  <si>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</si>
  <si>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</si>
  <si>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</si>
  <si>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</si>
  <si>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</si>
  <si>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</si>
  <si>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</si>
  <si>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</si>
  <si>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</si>
  <si>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</si>
  <si>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</si>
  <si>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</si>
  <si>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</si>
  <si>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</si>
  <si>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</si>
  <si>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</si>
  <si>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</si>
  <si>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</si>
  <si>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</si>
  <si>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</si>
  <si>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</si>
  <si>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</si>
  <si>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</si>
  <si>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</si>
  <si>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</si>
  <si>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</si>
  <si>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</si>
  <si>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</si>
  <si>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</si>
  <si>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</si>
  <si>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</si>
  <si>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</si>
  <si>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</si>
  <si>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</si>
  <si>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</si>
  <si>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</si>
  <si>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</si>
  <si>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</si>
  <si>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</si>
  <si>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</si>
  <si>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</si>
  <si>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</si>
  <si>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</si>
  <si>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</si>
  <si>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</si>
  <si>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</si>
  <si>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</si>
  <si>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</si>
  <si>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</si>
  <si>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</si>
  <si>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</si>
  <si>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</si>
  <si>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</si>
  <si>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</si>
  <si>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</si>
  <si>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</si>
  <si>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</si>
  <si>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</si>
  <si>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</si>
  <si>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</si>
  <si>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</si>
  <si>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</si>
  <si>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</si>
  <si>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</si>
  <si>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</si>
  <si>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</si>
  <si>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</si>
  <si>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</si>
  <si>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</si>
  <si>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</si>
  <si>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</si>
  <si>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</si>
  <si>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</si>
  <si>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</si>
  <si>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</si>
  <si>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</si>
  <si>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</si>
  <si>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</si>
  <si>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</si>
  <si>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</si>
  <si>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</si>
  <si>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</si>
  <si>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</si>
  <si>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</si>
  <si>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</si>
  <si>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</si>
  <si>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</si>
  <si>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</si>
  <si>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</si>
  <si>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</si>
  <si>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</si>
  <si>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</si>
  <si>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</si>
  <si>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</si>
  <si>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</si>
  <si>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</si>
  <si>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</si>
  <si>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</si>
  <si>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</si>
  <si>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</si>
  <si>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</si>
  <si>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</si>
  <si>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</si>
  <si>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</si>
  <si>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</si>
  <si>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</si>
  <si>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</si>
  <si>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</si>
  <si>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</si>
  <si>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</si>
  <si>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</si>
  <si>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</si>
  <si>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</si>
  <si>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</si>
  <si>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</si>
  <si>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</si>
  <si>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</si>
  <si>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</si>
  <si>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</si>
  <si>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</si>
  <si>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</si>
  <si>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</si>
  <si>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</si>
  <si>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</si>
  <si>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</si>
  <si>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</si>
  <si>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</si>
  <si>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</si>
  <si>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</si>
  <si>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</si>
  <si>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</si>
  <si>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</si>
  <si>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</si>
  <si>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</si>
  <si>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</si>
  <si>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</si>
  <si>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</si>
  <si>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</si>
  <si>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</si>
  <si>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</si>
  <si>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</si>
  <si>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</si>
  <si>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</si>
  <si>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</si>
  <si>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</si>
  <si>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</si>
  <si>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</si>
  <si>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</si>
  <si>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</si>
  <si>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</si>
  <si>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</si>
  <si>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</si>
  <si>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</si>
  <si>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</si>
  <si>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</si>
  <si>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</si>
  <si>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</si>
  <si>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</si>
  <si>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</si>
  <si>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</si>
  <si>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</si>
  <si>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</si>
  <si>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</si>
  <si>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</si>
  <si>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</si>
  <si>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</si>
  <si>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</si>
  <si>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</si>
  <si>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</si>
  <si>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</si>
  <si>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</si>
  <si>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</si>
  <si>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</si>
  <si>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</si>
  <si>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</si>
  <si>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</si>
  <si>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</si>
  <si>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</si>
  <si>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</si>
  <si>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</si>
  <si>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</si>
  <si>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</si>
  <si>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</si>
  <si>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</si>
  <si>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</si>
  <si>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</si>
  <si>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</si>
  <si>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</si>
  <si>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</si>
  <si>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</si>
  <si>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</si>
  <si>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</si>
  <si>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</si>
  <si>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</si>
  <si>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</si>
  <si>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</si>
  <si>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</si>
  <si>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</si>
  <si>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</si>
  <si>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</si>
  <si>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</si>
  <si>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</si>
  <si>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</si>
  <si>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</si>
  <si>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</si>
  <si>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</si>
  <si>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</si>
  <si>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</si>
  <si>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</si>
  <si>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</si>
  <si>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</si>
  <si>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</si>
  <si>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</si>
  <si>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</si>
  <si>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</si>
  <si>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</si>
  <si>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</si>
  <si>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</si>
  <si>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</si>
  <si>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</si>
  <si>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</si>
  <si>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</si>
  <si>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</si>
  <si>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</si>
  <si>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</si>
  <si>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</si>
  <si>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</si>
  <si>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</si>
  <si>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</si>
  <si>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</si>
  <si>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</si>
  <si>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</si>
  <si>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</si>
  <si>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</si>
  <si>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</si>
  <si>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</si>
  <si>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</si>
  <si>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</si>
  <si>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</si>
  <si>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</si>
  <si>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</si>
  <si>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</si>
  <si>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</si>
  <si>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</si>
  <si>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</si>
  <si>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</si>
  <si>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</si>
  <si>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</si>
  <si>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</si>
  <si>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</si>
  <si>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</si>
  <si>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</si>
  <si>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</si>
  <si>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</si>
  <si>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</si>
  <si>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</si>
  <si>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</si>
  <si>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</si>
  <si>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</si>
  <si>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</si>
  <si>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</si>
  <si>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</si>
  <si>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</si>
  <si>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</si>
  <si>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</si>
  <si>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</si>
  <si>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</si>
  <si>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</si>
  <si>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</si>
  <si>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</si>
  <si>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</si>
  <si>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</si>
  <si>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</si>
  <si>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</si>
  <si>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</si>
  <si>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</si>
  <si>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</si>
  <si>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</si>
  <si>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</si>
  <si>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</si>
  <si>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</si>
  <si>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</si>
  <si>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</si>
  <si>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</si>
  <si>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</si>
  <si>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</si>
  <si>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</si>
  <si>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</si>
  <si>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</si>
  <si>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</si>
  <si>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</si>
  <si>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</si>
  <si>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</si>
  <si>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</si>
  <si>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</si>
  <si>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</si>
  <si>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</si>
  <si>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</si>
  <si>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</si>
  <si>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</si>
  <si>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</si>
  <si>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</si>
  <si>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</si>
  <si>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</si>
  <si>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</si>
  <si>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</si>
  <si>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</si>
  <si>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</si>
  <si>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</si>
  <si>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</si>
  <si>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</si>
  <si>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</si>
  <si>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</si>
  <si>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</si>
  <si>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</si>
  <si>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</si>
  <si>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</si>
  <si>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</si>
  <si>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</si>
  <si>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</si>
  <si>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</si>
  <si>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</si>
  <si>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</si>
  <si>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</si>
  <si>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</si>
  <si>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</si>
  <si>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</si>
  <si>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</si>
  <si>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</si>
  <si>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</si>
  <si>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</si>
  <si>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</si>
  <si>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</si>
  <si>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</si>
  <si>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</si>
  <si>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</si>
  <si>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</si>
  <si>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</si>
  <si>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</si>
  <si>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</si>
  <si>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</si>
  <si>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</si>
  <si>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</si>
  <si>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</si>
  <si>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</si>
  <si>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</si>
  <si>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</si>
  <si>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</si>
  <si>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</si>
  <si>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</si>
  <si>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</si>
  <si>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</si>
  <si>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</si>
  <si>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</si>
  <si>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</si>
  <si>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</si>
  <si>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</si>
  <si>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</si>
  <si>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</si>
  <si>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</si>
  <si>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</si>
  <si>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</si>
  <si>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</si>
  <si>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</si>
  <si>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</si>
  <si>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</si>
  <si>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</si>
  <si>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</si>
  <si>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</si>
  <si>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</si>
  <si>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</si>
  <si>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</si>
  <si>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</si>
  <si>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</si>
  <si>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</si>
  <si>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</si>
  <si>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</si>
  <si>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</si>
  <si>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</si>
  <si>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</si>
  <si>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</si>
  <si>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</si>
  <si>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</si>
  <si>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</si>
  <si>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</si>
  <si>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</si>
  <si>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</si>
  <si>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</si>
  <si>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</si>
  <si>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</si>
  <si>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</si>
  <si>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</si>
  <si>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</si>
  <si>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</si>
  <si>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</si>
  <si>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</si>
  <si>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</si>
  <si>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</si>
  <si>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</si>
  <si>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</si>
  <si>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</si>
  <si>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</si>
  <si>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</si>
  <si>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</si>
  <si>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</si>
  <si>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</si>
  <si>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</si>
  <si>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</si>
  <si>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</si>
  <si>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</si>
  <si>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</si>
  <si>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</si>
  <si>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</si>
  <si>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</si>
  <si>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</si>
  <si>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</si>
  <si>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</si>
  <si>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</si>
  <si>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</si>
  <si>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</si>
  <si>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</si>
  <si>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</si>
  <si>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</si>
  <si>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</si>
  <si>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</si>
  <si>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</si>
  <si>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</si>
  <si>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</si>
  <si>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</si>
  <si>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</si>
  <si>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</si>
  <si>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</si>
  <si>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</si>
  <si>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</si>
  <si>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</si>
  <si>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</si>
  <si>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</si>
  <si>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</si>
  <si>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</si>
  <si>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</si>
  <si>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</si>
  <si>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</si>
  <si>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</si>
  <si>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</si>
  <si>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</si>
  <si>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</si>
  <si>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</si>
  <si>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</si>
  <si>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</si>
  <si>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</si>
  <si>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</si>
  <si>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</si>
  <si>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</si>
  <si>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</si>
  <si>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</si>
  <si>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</si>
  <si>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</si>
  <si>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</si>
  <si>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</si>
  <si>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</si>
  <si>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</si>
  <si>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</si>
  <si>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</si>
  <si>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</si>
  <si>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</si>
  <si>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</si>
  <si>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</si>
  <si>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</si>
  <si>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</si>
  <si>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</si>
  <si>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</si>
  <si>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</si>
  <si>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</si>
  <si>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</si>
  <si>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</si>
  <si>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</si>
  <si>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</si>
  <si>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</si>
  <si>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</si>
  <si>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</si>
  <si>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</si>
  <si>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</si>
  <si>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</si>
  <si>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</si>
  <si>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</si>
  <si>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</si>
  <si>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</si>
  <si>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</si>
  <si>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</si>
  <si>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</si>
  <si>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</si>
  <si>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</si>
  <si>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</si>
  <si>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</si>
  <si>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</si>
  <si>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</si>
  <si>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</si>
  <si>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</si>
  <si>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</si>
  <si>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</si>
  <si>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</si>
  <si>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</si>
  <si>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</si>
  <si>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</si>
  <si>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</si>
  <si>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</si>
  <si>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</si>
  <si>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</si>
  <si>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</si>
  <si>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</si>
  <si>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</si>
  <si>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</si>
  <si>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</si>
  <si>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</si>
  <si>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</si>
  <si>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</si>
  <si>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</si>
  <si>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</si>
  <si>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</si>
  <si>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</si>
  <si>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</si>
  <si>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</si>
  <si>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</si>
  <si>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</si>
  <si>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</si>
  <si>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</si>
  <si>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</si>
  <si>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</si>
  <si>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</si>
  <si>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</si>
  <si>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</si>
  <si>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</si>
  <si>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</si>
  <si>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</si>
  <si>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</si>
  <si>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</si>
  <si>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</si>
  <si>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</si>
  <si>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</si>
  <si>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</si>
  <si>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</si>
  <si>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</si>
  <si>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</si>
  <si>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</si>
  <si>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</si>
  <si>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</si>
  <si>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</si>
  <si>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</si>
  <si>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</si>
  <si>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</si>
  <si>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</si>
  <si>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</si>
  <si>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</si>
  <si>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</si>
  <si>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</si>
  <si>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</si>
  <si>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</si>
  <si>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</si>
  <si>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</si>
  <si>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</si>
  <si>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</si>
  <si>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</si>
  <si>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</si>
  <si>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</si>
  <si>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</si>
  <si>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</si>
  <si>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</si>
  <si>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</si>
  <si>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</si>
  <si>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</si>
  <si>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</si>
  <si>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</si>
  <si>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</si>
  <si>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</si>
  <si>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</si>
  <si>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</si>
  <si>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</si>
  <si>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</si>
  <si>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</si>
  <si>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</si>
  <si>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</si>
  <si>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</si>
  <si>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</si>
  <si>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</si>
  <si>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</si>
  <si>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</si>
  <si>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</si>
  <si>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</si>
  <si>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</si>
  <si>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</si>
  <si>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</si>
  <si>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</si>
  <si>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</si>
  <si>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</si>
  <si>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</si>
  <si>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</si>
  <si>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</si>
  <si>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</si>
  <si>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</si>
  <si>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</si>
  <si>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</si>
  <si>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</si>
  <si>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</si>
  <si>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</si>
  <si>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</si>
  <si>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</si>
  <si>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</si>
  <si>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</si>
  <si>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</si>
  <si>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</si>
  <si>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</si>
  <si>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</si>
  <si>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</si>
  <si>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</si>
  <si>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</si>
  <si>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</si>
  <si>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</si>
  <si>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</si>
  <si>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</si>
  <si>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</si>
  <si>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</si>
  <si>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</si>
  <si>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</si>
  <si>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</si>
  <si>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</si>
  <si>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</si>
  <si>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</si>
  <si>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</si>
  <si>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</si>
  <si>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</si>
  <si>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</si>
  <si>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</si>
  <si>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</si>
  <si>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</si>
  <si>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</si>
  <si>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</si>
  <si>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</si>
  <si>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</si>
  <si>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</si>
  <si>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</si>
  <si>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</si>
  <si>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</si>
  <si>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</si>
  <si>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</si>
  <si>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</si>
  <si>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</si>
  <si>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</si>
  <si>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</si>
  <si>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</si>
  <si>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</si>
  <si>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</si>
  <si>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</si>
  <si>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</si>
  <si>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</si>
  <si>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</si>
  <si>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</si>
  <si>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</si>
  <si>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</si>
  <si>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</si>
  <si>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</si>
  <si>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</si>
  <si>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</si>
  <si>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</si>
  <si>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</si>
  <si>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</si>
  <si>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</si>
  <si>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</si>
  <si>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</si>
  <si>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</si>
  <si>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</si>
  <si>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</si>
  <si>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</si>
  <si>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</si>
  <si>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</si>
  <si>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</si>
  <si>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</si>
  <si>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</si>
  <si>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</si>
  <si>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</si>
  <si>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</si>
  <si>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</si>
  <si>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</si>
  <si>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</si>
  <si>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</si>
  <si>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</si>
  <si>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</si>
  <si>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</si>
  <si>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</si>
  <si>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</si>
  <si>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</si>
  <si>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</si>
  <si>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</si>
  <si>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</si>
  <si>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</si>
  <si>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</si>
  <si>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</si>
  <si>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</si>
  <si>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</si>
  <si>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</si>
  <si>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</si>
  <si>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</si>
  <si>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</si>
  <si>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</si>
  <si>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</si>
  <si>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</si>
  <si>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</si>
  <si>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</si>
  <si>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</si>
  <si>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</si>
  <si>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</si>
  <si>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</si>
  <si>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</si>
  <si>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</si>
  <si>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</si>
  <si>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</si>
  <si>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</si>
  <si>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</si>
  <si>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</si>
  <si>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</si>
  <si>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</si>
  <si>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</si>
  <si>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</si>
  <si>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</si>
  <si>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</si>
  <si>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</si>
  <si>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</si>
  <si>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</si>
  <si>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</si>
  <si>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</si>
  <si>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</si>
  <si>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</si>
  <si>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</si>
  <si>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</si>
  <si>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</si>
  <si>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</si>
  <si>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</si>
  <si>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</si>
  <si>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</si>
  <si>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</si>
  <si>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</si>
  <si>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</si>
  <si>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</si>
  <si>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</si>
  <si>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</si>
  <si>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</si>
  <si>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</si>
  <si>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</si>
  <si>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</si>
  <si>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</si>
  <si>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</si>
  <si>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</si>
  <si>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</si>
  <si>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</si>
  <si>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</si>
  <si>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</si>
  <si>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</si>
  <si>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</si>
  <si>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</si>
  <si>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</si>
  <si>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</si>
  <si>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</si>
  <si>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</si>
  <si>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</si>
  <si>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</si>
  <si>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</si>
  <si>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</si>
  <si>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</si>
  <si>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</si>
  <si>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</si>
  <si>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</si>
  <si>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</si>
  <si>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</si>
  <si>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</si>
  <si>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</si>
  <si>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</si>
  <si>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</si>
  <si>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</si>
  <si>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</si>
  <si>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</si>
  <si>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</si>
  <si>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</si>
  <si>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</si>
  <si>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</si>
  <si>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</si>
  <si>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</si>
  <si>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</si>
  <si>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</si>
  <si>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</si>
  <si>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</si>
  <si>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</si>
  <si>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</si>
  <si>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</si>
  <si>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</si>
  <si>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</si>
  <si>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</si>
  <si>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</si>
  <si>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</si>
  <si>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</si>
  <si>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</si>
  <si>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</si>
  <si>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</si>
  <si>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</si>
  <si>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</si>
  <si>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</si>
  <si>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</si>
  <si>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</si>
  <si>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</si>
  <si>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</si>
  <si>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</si>
  <si>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</si>
  <si>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</si>
  <si>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</si>
  <si>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</si>
  <si>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</si>
  <si>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</si>
  <si>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</si>
  <si>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</si>
  <si>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</si>
  <si>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</si>
  <si>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</si>
  <si>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</si>
  <si>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</si>
  <si>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</si>
  <si>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</si>
  <si>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</si>
  <si>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</si>
  <si>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</si>
  <si>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</si>
  <si>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</si>
  <si>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</si>
  <si>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</si>
  <si>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</si>
  <si>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</si>
  <si>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</si>
  <si>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</si>
  <si>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</si>
  <si>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</si>
  <si>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</si>
  <si>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</si>
  <si>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</si>
  <si>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</si>
  <si>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</si>
  <si>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</si>
  <si>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</si>
  <si>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</si>
  <si>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</si>
  <si>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</si>
  <si>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</si>
  <si>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</si>
  <si>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</si>
  <si>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</si>
  <si>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</si>
  <si>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</si>
  <si>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</si>
  <si>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</si>
  <si>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</si>
  <si>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</si>
  <si>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</si>
  <si>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</si>
  <si>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</si>
  <si>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</si>
  <si>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</si>
  <si>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</si>
  <si>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</si>
  <si>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</si>
  <si>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</si>
  <si>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</si>
  <si>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</si>
  <si>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</si>
  <si>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</si>
  <si>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</si>
  <si>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</si>
  <si>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</si>
  <si>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</si>
  <si>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</si>
  <si>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</si>
  <si>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</si>
  <si>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</si>
  <si>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</si>
  <si>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</si>
  <si>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</si>
  <si>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</si>
  <si>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</si>
  <si>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</si>
  <si>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</si>
  <si>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</si>
  <si>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</si>
  <si>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</si>
  <si>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</si>
  <si>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</si>
  <si>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</si>
  <si>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</si>
  <si>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</si>
  <si>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</si>
  <si>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</si>
  <si>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</si>
  <si>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</si>
  <si>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</si>
  <si>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</si>
  <si>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</si>
  <si>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</si>
  <si>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</si>
  <si>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</si>
  <si>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</si>
  <si>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</si>
  <si>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</si>
  <si>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</si>
  <si>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</si>
  <si>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</si>
  <si>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</si>
  <si>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</si>
  <si>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</si>
  <si>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</si>
  <si>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</si>
  <si>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</si>
  <si>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</si>
  <si>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</si>
  <si>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</si>
  <si>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</si>
  <si>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</si>
  <si>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</si>
  <si>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</si>
  <si>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</si>
  <si>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</si>
  <si>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</si>
  <si>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</si>
  <si>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</si>
  <si>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</si>
  <si>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</si>
  <si>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</si>
  <si>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</si>
  <si>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</si>
  <si>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</si>
  <si>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</si>
  <si>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</si>
  <si>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</si>
  <si>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</si>
  <si>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</si>
  <si>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</si>
  <si>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</si>
  <si>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</si>
  <si>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</si>
  <si>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</si>
  <si>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</si>
  <si>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</si>
  <si>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</si>
  <si>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</si>
  <si>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</si>
  <si>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</si>
  <si>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</si>
  <si>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</si>
  <si>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</si>
  <si>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</si>
  <si>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</si>
  <si>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</si>
  <si>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</si>
  <si>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</si>
  <si>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</si>
  <si>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</si>
  <si>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</si>
  <si>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</si>
  <si>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</si>
  <si>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</si>
  <si>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</si>
  <si>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</si>
  <si>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</si>
  <si>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</si>
  <si>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</si>
  <si>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</si>
  <si>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</si>
  <si>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</si>
  <si>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</si>
  <si>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</si>
  <si>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</si>
  <si>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</si>
  <si>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</si>
  <si>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</si>
  <si>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</si>
  <si>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</si>
  <si>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</si>
  <si>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</si>
  <si>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</si>
  <si>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</si>
  <si>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</si>
  <si>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</si>
  <si>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</si>
  <si>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</si>
  <si>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</si>
  <si>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</si>
  <si>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</si>
  <si>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</si>
  <si>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</si>
  <si>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</si>
  <si>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</si>
  <si>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</si>
  <si>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</si>
  <si>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</si>
  <si>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</si>
  <si>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</si>
  <si>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</si>
  <si>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</si>
  <si>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</si>
  <si>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</si>
  <si>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</si>
  <si>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</si>
  <si>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</si>
  <si>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</si>
  <si>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</si>
  <si>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</si>
  <si>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</si>
  <si>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</si>
  <si>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</si>
  <si>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</si>
  <si>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</si>
  <si>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</si>
  <si>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</si>
  <si>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</si>
  <si>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</si>
  <si>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</si>
  <si>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</si>
  <si>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</si>
  <si>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</si>
  <si>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</si>
  <si>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</si>
  <si>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</si>
  <si>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</si>
  <si>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</si>
  <si>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</si>
  <si>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</si>
  <si>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</si>
  <si>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</si>
  <si>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</si>
  <si>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</si>
  <si>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</si>
  <si>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</si>
  <si>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</si>
  <si>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</si>
  <si>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</si>
  <si>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</si>
  <si>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</si>
  <si>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</si>
  <si>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</si>
  <si>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</si>
  <si>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</si>
  <si>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</si>
  <si>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</si>
  <si>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</si>
  <si>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</si>
  <si>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</si>
  <si>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</si>
  <si>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</si>
  <si>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</si>
  <si>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</si>
  <si>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</si>
  <si>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</si>
  <si>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</si>
  <si>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</si>
  <si>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</si>
  <si>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</si>
  <si>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</si>
  <si>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</si>
  <si>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</si>
  <si>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</si>
  <si>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</si>
  <si>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</si>
  <si>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</si>
  <si>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</si>
  <si>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</si>
  <si>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</si>
  <si>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</si>
  <si>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</si>
  <si>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</si>
  <si>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</si>
  <si>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</si>
  <si>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</si>
  <si>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</si>
  <si>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</si>
  <si>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</si>
  <si>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</si>
  <si>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</si>
  <si>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</si>
  <si>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</si>
  <si>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</si>
  <si>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</si>
  <si>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</si>
  <si>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</si>
  <si>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</si>
  <si>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</si>
  <si>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</si>
  <si>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</si>
  <si>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</si>
  <si>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</si>
  <si>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</si>
  <si>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</si>
  <si>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</si>
  <si>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</si>
  <si>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</si>
  <si>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</si>
  <si>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</si>
  <si>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</si>
  <si>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</si>
  <si>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</si>
  <si>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</si>
  <si>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</si>
  <si>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</si>
  <si>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</si>
  <si>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</si>
  <si>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</si>
  <si>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</si>
  <si>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</si>
  <si>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</si>
  <si>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</si>
  <si>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</si>
  <si>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</si>
  <si>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</si>
  <si>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</si>
  <si>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</si>
  <si>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</si>
  <si>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</si>
  <si>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</si>
  <si>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</si>
  <si>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</si>
  <si>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</si>
  <si>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</si>
  <si>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</si>
  <si>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</si>
  <si>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</si>
  <si>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</si>
  <si>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</si>
  <si>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</si>
  <si>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</si>
  <si>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</si>
  <si>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</si>
  <si>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</si>
  <si>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</si>
  <si>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</si>
  <si>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</si>
  <si>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</si>
  <si>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</si>
  <si>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</si>
  <si>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</si>
  <si>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</si>
  <si>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</si>
  <si>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</si>
  <si>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</si>
  <si>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</si>
  <si>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</si>
  <si>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</si>
  <si>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</si>
  <si>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</si>
  <si>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</si>
  <si>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</si>
  <si>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</si>
  <si>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</si>
  <si>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</si>
  <si>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</si>
  <si>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</si>
  <si>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</si>
  <si>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</si>
  <si>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</si>
  <si>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</si>
  <si>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</si>
  <si>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</si>
  <si>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</si>
  <si>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</si>
  <si>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</si>
  <si>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</si>
  <si>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</si>
  <si>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</si>
  <si>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</si>
  <si>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</si>
  <si>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</si>
  <si>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</si>
  <si>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</si>
  <si>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</si>
  <si>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</si>
  <si>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</si>
  <si>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</si>
  <si>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</si>
  <si>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</si>
  <si>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</si>
  <si>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</si>
  <si>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</si>
  <si>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</si>
  <si>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</si>
  <si>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</si>
  <si>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</si>
  <si>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</si>
  <si>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</si>
  <si>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</si>
  <si>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</si>
  <si>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</si>
  <si>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</si>
  <si>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</si>
  <si>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</si>
  <si>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</si>
  <si>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</si>
  <si>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</si>
  <si>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</si>
  <si>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</si>
  <si>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</si>
  <si>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</si>
  <si>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</si>
  <si>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</si>
  <si>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</si>
  <si>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</si>
  <si>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</si>
  <si>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</si>
  <si>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</si>
  <si>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</si>
  <si>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</si>
  <si>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</si>
  <si>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</si>
  <si>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</si>
  <si>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</si>
  <si>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</si>
  <si>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</si>
  <si>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</si>
  <si>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</si>
  <si>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</si>
  <si>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</si>
  <si>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</si>
  <si>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</si>
  <si>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</si>
  <si>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</si>
  <si>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</si>
  <si>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</si>
  <si>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</si>
  <si>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</si>
  <si>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</si>
  <si>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</si>
  <si>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</si>
  <si>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</si>
  <si>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</si>
  <si>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</si>
  <si>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</si>
  <si>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</si>
  <si>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</si>
  <si>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</si>
  <si>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</si>
  <si>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</si>
  <si>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</si>
  <si>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</si>
  <si>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</si>
  <si>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</si>
  <si>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</si>
  <si>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</si>
  <si>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</si>
  <si>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</si>
  <si>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</si>
  <si>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</si>
  <si>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</si>
  <si>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</si>
  <si>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</si>
  <si>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</si>
  <si>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</si>
  <si>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</si>
  <si>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</si>
  <si>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</si>
  <si>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</si>
  <si>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</si>
  <si>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</si>
  <si>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</si>
  <si>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</si>
  <si>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</si>
  <si>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</si>
  <si>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</si>
  <si>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</si>
  <si>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</si>
  <si>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</si>
  <si>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</si>
  <si>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</si>
  <si>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</si>
  <si>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</si>
  <si>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</si>
  <si>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</si>
  <si>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</si>
  <si>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</si>
  <si>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</si>
  <si>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</si>
  <si>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</si>
  <si>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</si>
  <si>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</si>
  <si>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</si>
  <si>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</si>
  <si>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</si>
  <si>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</si>
  <si>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</si>
  <si>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</si>
  <si>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</si>
  <si>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</si>
  <si>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</si>
  <si>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</si>
  <si>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</si>
  <si>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</si>
  <si>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</si>
  <si>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</si>
  <si>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</si>
  <si>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</si>
  <si>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</si>
  <si>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</si>
  <si>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</si>
  <si>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</si>
  <si>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</si>
  <si>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</si>
  <si>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</si>
  <si>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</si>
  <si>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</si>
  <si>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</si>
  <si>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</si>
  <si>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</si>
  <si>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</si>
  <si>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</si>
  <si>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</si>
  <si>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</si>
  <si>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</si>
  <si>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</si>
  <si>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</si>
  <si>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</si>
  <si>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</si>
  <si>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</si>
  <si>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</si>
  <si>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</si>
  <si>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</si>
  <si>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</si>
  <si>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</si>
  <si>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</si>
  <si>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</si>
  <si>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</si>
  <si>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</si>
  <si>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</si>
  <si>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</si>
  <si>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</si>
  <si>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</si>
  <si>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</si>
  <si>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</si>
  <si>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</si>
  <si>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</si>
  <si>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</si>
  <si>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</si>
  <si>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</si>
  <si>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</si>
  <si>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</si>
  <si>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</si>
  <si>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</si>
  <si>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</si>
  <si>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</si>
  <si>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</si>
  <si>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</si>
  <si>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</si>
  <si>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</si>
  <si>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</si>
  <si>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</si>
  <si>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</si>
  <si>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</si>
  <si>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</si>
  <si>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</si>
  <si>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</si>
  <si>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</si>
  <si>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</si>
  <si>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</si>
  <si>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</si>
  <si>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</si>
  <si>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</si>
  <si>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</si>
  <si>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</si>
  <si>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</si>
  <si>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</si>
  <si>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</si>
  <si>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</si>
  <si>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</si>
  <si>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</si>
  <si>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</si>
  <si>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</si>
  <si>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</si>
  <si>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</si>
  <si>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</si>
  <si>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</si>
  <si>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</si>
  <si>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</si>
  <si>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</si>
  <si>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</si>
  <si>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</si>
  <si>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</si>
  <si>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</si>
  <si>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</si>
  <si>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</si>
  <si>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</si>
  <si>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</si>
  <si>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</si>
  <si>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</si>
  <si>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</si>
  <si>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</si>
  <si>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</si>
  <si>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</si>
  <si>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</si>
  <si>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</si>
  <si>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</si>
  <si>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</si>
  <si>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</si>
  <si>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</si>
  <si>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</si>
  <si>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</si>
  <si>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</si>
  <si>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</si>
  <si>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</si>
  <si>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</si>
  <si>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</si>
  <si>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</si>
  <si>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</si>
  <si>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</si>
  <si>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</si>
  <si>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</si>
  <si>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</si>
  <si>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</si>
  <si>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</si>
  <si>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</si>
  <si>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</si>
  <si>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</si>
  <si>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</si>
  <si>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</si>
  <si>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</si>
  <si>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</si>
  <si>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</si>
  <si>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</si>
  <si>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</si>
  <si>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</si>
  <si>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</si>
  <si>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</si>
  <si>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</si>
  <si>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</si>
  <si>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</si>
  <si>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</si>
  <si>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</si>
  <si>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</si>
  <si>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</si>
  <si>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</si>
  <si>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</si>
  <si>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</si>
  <si>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</si>
  <si>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</si>
  <si>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</si>
  <si>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</si>
  <si>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</si>
  <si>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</si>
  <si>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</si>
  <si>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</si>
  <si>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</si>
  <si>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</si>
  <si>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</si>
  <si>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</si>
  <si>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</si>
  <si>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</si>
  <si>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</si>
  <si>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</si>
  <si>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</si>
  <si>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</si>
  <si>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</si>
  <si>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</si>
  <si>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</si>
  <si>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</si>
  <si>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</si>
  <si>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</si>
  <si>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</si>
  <si>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</si>
  <si>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</si>
  <si>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</si>
  <si>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</si>
  <si>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</si>
  <si>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</si>
  <si>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</si>
  <si>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</si>
  <si>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</si>
  <si>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</si>
  <si>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</si>
  <si>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</si>
  <si>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</si>
  <si>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</si>
  <si>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</si>
  <si>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</si>
  <si>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</si>
  <si>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</si>
  <si>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</si>
  <si>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</si>
  <si>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</si>
  <si>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</si>
  <si>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</si>
  <si>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</si>
  <si>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</si>
  <si>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</si>
  <si>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</si>
  <si>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</si>
  <si>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</si>
  <si>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</si>
  <si>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</si>
  <si>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</si>
  <si>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</si>
  <si>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</si>
  <si>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</si>
  <si>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</si>
  <si>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</si>
  <si>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</si>
  <si>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</si>
  <si>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</si>
  <si>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</si>
  <si>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</si>
  <si>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</si>
  <si>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</si>
  <si>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</si>
  <si>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</si>
  <si>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</si>
  <si>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</si>
  <si>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</si>
  <si>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</si>
  <si>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</si>
  <si>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</si>
  <si>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</si>
  <si>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</si>
  <si>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</si>
  <si>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</si>
  <si>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</si>
  <si>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</si>
  <si>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</si>
  <si>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</si>
  <si>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</si>
  <si>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</si>
  <si>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</si>
  <si>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</si>
  <si>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</si>
  <si>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</si>
  <si>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</si>
  <si>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</si>
  <si>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</si>
  <si>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</si>
  <si>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</si>
  <si>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</si>
  <si>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</si>
  <si>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</si>
  <si>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</si>
  <si>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</si>
  <si>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</si>
  <si>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</si>
  <si>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</si>
  <si>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</si>
  <si>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</si>
  <si>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</si>
  <si>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</si>
  <si>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</si>
  <si>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</si>
  <si>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</si>
  <si>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</si>
  <si>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</si>
  <si>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</si>
  <si>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</si>
  <si>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</si>
  <si>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</si>
  <si>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</si>
  <si>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</si>
  <si>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</si>
  <si>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</si>
  <si>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</si>
  <si>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</si>
  <si>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</si>
  <si>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</si>
  <si>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</si>
  <si>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</si>
  <si>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</si>
  <si>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</si>
  <si>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</si>
  <si>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</si>
  <si>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</si>
  <si>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</si>
  <si>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</si>
  <si>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</si>
  <si>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</si>
  <si>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</si>
  <si>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</si>
  <si>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</si>
  <si>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</si>
  <si>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</si>
  <si>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</si>
  <si>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</si>
  <si>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</si>
  <si>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</si>
  <si>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</si>
  <si>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</si>
  <si>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</si>
  <si>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</si>
  <si>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</si>
  <si>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</si>
  <si>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</si>
  <si>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</si>
  <si>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</si>
  <si>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</si>
  <si>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</si>
  <si>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</si>
  <si>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</si>
  <si>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</si>
  <si>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</si>
  <si>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</si>
  <si>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</si>
  <si>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</si>
  <si>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</si>
  <si>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</si>
  <si>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</si>
  <si>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</si>
  <si>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</si>
  <si>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</si>
  <si>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</si>
  <si>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</si>
  <si>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</si>
  <si>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</si>
  <si>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</si>
  <si>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</si>
  <si>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</si>
  <si>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</si>
  <si>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</si>
  <si>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</si>
  <si>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</si>
  <si>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</si>
  <si>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</si>
  <si>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</si>
  <si>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</si>
  <si>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</si>
  <si>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</si>
  <si>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</si>
  <si>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</si>
  <si>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</si>
  <si>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</si>
  <si>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</si>
  <si>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</si>
  <si>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</si>
  <si>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</si>
  <si>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</si>
  <si>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</si>
  <si>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</si>
  <si>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</si>
  <si>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</si>
  <si>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</si>
  <si>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</si>
  <si>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</si>
  <si>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</si>
  <si>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</si>
  <si>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</si>
  <si>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</si>
  <si>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</si>
  <si>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</si>
  <si>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</si>
  <si>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</si>
  <si>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</si>
  <si>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</si>
  <si>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</si>
  <si>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</si>
  <si>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</si>
  <si>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</si>
  <si>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</si>
  <si>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</si>
  <si>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</si>
  <si>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</si>
  <si>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</si>
  <si>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</si>
  <si>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</si>
  <si>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</si>
  <si>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</si>
  <si>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</si>
  <si>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</si>
  <si>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</si>
  <si>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</si>
  <si>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</si>
  <si>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</si>
  <si>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</si>
  <si>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</si>
  <si>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</si>
  <si>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</si>
  <si>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</si>
  <si>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</si>
  <si>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</si>
  <si>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</si>
  <si>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</si>
  <si>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</si>
  <si>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</si>
  <si>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</si>
  <si>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</si>
  <si>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</si>
  <si>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</si>
  <si>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</si>
  <si>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</si>
  <si>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</si>
  <si>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</si>
  <si>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</si>
  <si>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</si>
  <si>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</si>
  <si>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</si>
  <si>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</si>
  <si>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</si>
  <si>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</si>
  <si>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</si>
  <si>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</si>
  <si>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</si>
  <si>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</si>
  <si>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</si>
  <si>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</si>
  <si>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</si>
  <si>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</si>
  <si>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</si>
  <si>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</si>
  <si>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</si>
  <si>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</si>
  <si>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</si>
  <si>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</si>
  <si>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</si>
  <si>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</si>
  <si>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</si>
  <si>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</si>
  <si>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</si>
  <si>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</si>
  <si>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</si>
  <si>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</si>
  <si>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</si>
  <si>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</si>
  <si>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</si>
  <si>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</si>
  <si>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</si>
  <si>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</si>
  <si>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</si>
  <si>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</si>
  <si>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</si>
  <si>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</si>
  <si>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</si>
  <si>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</si>
  <si>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</si>
  <si>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</si>
  <si>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</si>
  <si>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</si>
  <si>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</si>
  <si>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</si>
  <si>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</si>
  <si>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</si>
  <si>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</si>
  <si>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</si>
  <si>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</si>
  <si>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</si>
  <si>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</si>
  <si>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</si>
  <si>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</si>
  <si>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</si>
  <si>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</si>
  <si>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</si>
  <si>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</si>
  <si>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</si>
  <si>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</si>
  <si>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</si>
  <si>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</si>
  <si>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</si>
  <si>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</si>
  <si>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</si>
  <si>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</si>
  <si>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</si>
  <si>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</si>
  <si>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</si>
  <si>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</si>
  <si>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</si>
  <si>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</si>
  <si>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</si>
  <si>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</si>
  <si>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</si>
  <si>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</si>
  <si>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</si>
  <si>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</si>
  <si>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</si>
  <si>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</si>
  <si>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</si>
  <si>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</si>
  <si>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</si>
  <si>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</si>
  <si>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</si>
  <si>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</si>
  <si>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</si>
  <si>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</si>
  <si>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</si>
  <si>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</si>
  <si>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</si>
  <si>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</si>
  <si>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</si>
  <si>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</si>
  <si>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</si>
  <si>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</si>
  <si>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</si>
  <si>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</si>
  <si>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</si>
  <si>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</si>
  <si>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</si>
  <si>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</si>
  <si>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</si>
  <si>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</si>
  <si>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</si>
  <si>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</si>
  <si>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</si>
  <si>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</si>
  <si>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</si>
  <si>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</si>
  <si>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</si>
  <si>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</si>
  <si>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</si>
  <si>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</si>
  <si>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</si>
  <si>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</si>
  <si>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</si>
  <si>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</si>
  <si>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</si>
  <si>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</si>
  <si>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</si>
  <si>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</si>
  <si>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</si>
  <si>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</si>
  <si>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</si>
  <si>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</si>
  <si>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</si>
  <si>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</si>
  <si>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</si>
  <si>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</si>
  <si>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</si>
  <si>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</si>
  <si>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</si>
  <si>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</si>
  <si>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</si>
  <si>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</si>
  <si>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</si>
  <si>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</si>
  <si>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</si>
  <si>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</si>
  <si>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</si>
  <si>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</si>
  <si>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</si>
  <si>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</si>
  <si>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</si>
  <si>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</si>
  <si>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</si>
  <si>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</si>
  <si>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</si>
  <si>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</si>
  <si>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</si>
  <si>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</si>
  <si>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</si>
  <si>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</si>
  <si>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</si>
  <si>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</si>
  <si>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</si>
  <si>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</si>
  <si>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</si>
  <si>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</si>
  <si>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</si>
  <si>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</si>
  <si>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</si>
  <si>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</si>
  <si>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</si>
  <si>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</si>
  <si>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</si>
  <si>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</si>
  <si>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</si>
  <si>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</si>
  <si>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</si>
  <si>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</si>
  <si>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</si>
  <si>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</si>
  <si>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</si>
  <si>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</si>
  <si>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</si>
  <si>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</si>
  <si>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</si>
  <si>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</si>
  <si>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</si>
  <si>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</si>
  <si>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</si>
  <si>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</si>
  <si>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</si>
  <si>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</si>
  <si>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</si>
  <si>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</si>
  <si>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</si>
  <si>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</si>
  <si>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</si>
  <si>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</si>
  <si>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</si>
  <si>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</si>
  <si>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</si>
  <si>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</si>
  <si>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</si>
  <si>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</si>
  <si>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</si>
  <si>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</si>
  <si>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</si>
  <si>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</si>
  <si>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</si>
  <si>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</si>
  <si>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</si>
  <si>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</si>
  <si>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</si>
  <si>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</si>
  <si>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</si>
  <si>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</si>
  <si>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</si>
  <si>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</si>
  <si>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</si>
  <si>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</si>
  <si>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</si>
  <si>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</si>
  <si>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</si>
  <si>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</si>
  <si>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</si>
  <si>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</si>
  <si>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</si>
  <si>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</si>
  <si>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</si>
  <si>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</si>
  <si>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</si>
  <si>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</si>
  <si>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</si>
  <si>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</si>
  <si>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</si>
  <si>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</si>
  <si>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</si>
  <si>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</si>
  <si>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</si>
  <si>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</si>
  <si>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</si>
  <si>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</si>
  <si>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</si>
  <si>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</si>
  <si>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</si>
  <si>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</si>
  <si>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</si>
  <si>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</si>
  <si>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</si>
  <si>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</si>
  <si>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</si>
  <si>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</si>
  <si>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</si>
  <si>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</si>
  <si>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</si>
  <si>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</si>
  <si>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</si>
  <si>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</si>
  <si>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</si>
  <si>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</si>
  <si>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</si>
  <si>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</si>
  <si>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</si>
  <si>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</si>
  <si>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</si>
  <si>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</si>
  <si>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</si>
  <si>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</si>
  <si>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</si>
  <si>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</si>
  <si>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</si>
  <si>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</si>
  <si>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</si>
  <si>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</si>
  <si>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</si>
  <si>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</si>
  <si>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</si>
  <si>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</si>
  <si>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</si>
  <si>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</si>
  <si>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</si>
  <si>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</si>
  <si>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</si>
  <si>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</si>
  <si>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</si>
  <si>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</si>
  <si>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</si>
  <si>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</si>
  <si>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</si>
  <si>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</si>
  <si>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</si>
  <si>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</si>
  <si>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</si>
  <si>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</si>
  <si>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</si>
  <si>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</si>
  <si>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</si>
  <si>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</si>
  <si>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</si>
  <si>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</si>
  <si>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</si>
  <si>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</si>
  <si>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</si>
  <si>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</si>
  <si>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</si>
  <si>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</si>
  <si>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</si>
  <si>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</si>
  <si>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</si>
  <si>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</si>
  <si>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</si>
  <si>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</si>
  <si>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</si>
  <si>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</si>
  <si>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</si>
  <si>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</si>
  <si>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</si>
  <si>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</si>
  <si>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</si>
  <si>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</si>
  <si>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</si>
  <si>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</si>
  <si>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</si>
  <si>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</si>
  <si>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</si>
  <si>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</si>
  <si>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</si>
  <si>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</si>
  <si>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</si>
  <si>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</si>
  <si>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</si>
  <si>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</si>
  <si>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</si>
  <si>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</si>
  <si>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</si>
  <si>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</si>
  <si>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</si>
  <si>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</si>
  <si>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</si>
  <si>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</si>
  <si>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</si>
  <si>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</si>
  <si>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</si>
  <si>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</si>
  <si>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</si>
  <si>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</si>
  <si>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</si>
  <si>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</si>
  <si>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</si>
  <si>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</si>
  <si>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</si>
  <si>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</si>
  <si>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</si>
  <si>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</si>
  <si>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</si>
  <si>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</si>
  <si>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</si>
  <si>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</si>
  <si>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</si>
  <si>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</si>
  <si>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</si>
  <si>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</si>
  <si>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</si>
  <si>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</si>
  <si>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</si>
  <si>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</si>
  <si>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</si>
  <si>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</si>
  <si>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</si>
  <si>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</si>
  <si>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</si>
  <si>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</si>
  <si>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</si>
  <si>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</si>
  <si>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</si>
  <si>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</si>
  <si>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</si>
  <si>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</si>
  <si>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</si>
  <si>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</si>
  <si>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</si>
  <si>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</si>
  <si>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</si>
  <si>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</si>
  <si>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</si>
  <si>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</si>
  <si>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</si>
  <si>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</si>
  <si>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</si>
  <si>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</si>
  <si>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</si>
  <si>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</si>
  <si>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</si>
  <si>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</si>
  <si>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</si>
  <si>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</si>
  <si>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</si>
  <si>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</si>
  <si>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</si>
  <si>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</si>
  <si>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</si>
  <si>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</si>
  <si>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</si>
  <si>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</si>
  <si>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</si>
  <si>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</si>
  <si>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</si>
  <si>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</si>
  <si>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</si>
  <si>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</si>
  <si>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</si>
  <si>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</si>
  <si>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</si>
  <si>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</si>
  <si>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</si>
  <si>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</si>
  <si>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</si>
  <si>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</si>
  <si>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</si>
  <si>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</si>
  <si>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</si>
  <si>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</si>
  <si>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</si>
  <si>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</si>
  <si>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</si>
  <si>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</si>
  <si>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</si>
  <si>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</si>
  <si>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</si>
  <si>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</si>
  <si>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</si>
  <si>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</si>
  <si>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</si>
  <si>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</si>
  <si>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</si>
  <si>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</si>
  <si>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</si>
  <si>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</si>
  <si>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</si>
  <si>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</si>
  <si>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</si>
  <si>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</si>
  <si>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</si>
  <si>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</si>
  <si>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</si>
  <si>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</si>
  <si>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</si>
  <si>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</si>
  <si>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</si>
  <si>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</si>
  <si>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</si>
  <si>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</si>
  <si>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</si>
  <si>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</si>
  <si>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</si>
  <si>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</si>
  <si>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</si>
  <si>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</si>
  <si>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</si>
  <si>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</si>
  <si>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</si>
  <si>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</si>
  <si>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</si>
  <si>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</si>
  <si>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</si>
  <si>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</si>
  <si>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</si>
  <si>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</si>
  <si>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</si>
  <si>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</si>
  <si>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</si>
  <si>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</si>
  <si>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</si>
  <si>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</si>
  <si>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</si>
  <si>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</si>
  <si>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</si>
  <si>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</si>
  <si>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</si>
  <si>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</si>
  <si>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</si>
  <si>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</si>
  <si>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</si>
  <si>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</si>
  <si>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</si>
  <si>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</si>
  <si>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</si>
  <si>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</si>
  <si>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</si>
  <si>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</si>
  <si>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</si>
  <si>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</si>
  <si>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</si>
  <si>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</si>
  <si>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</si>
  <si>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</si>
  <si>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</si>
  <si>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</si>
  <si>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</si>
  <si>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</si>
  <si>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</si>
  <si>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</si>
  <si>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</si>
  <si>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</si>
  <si>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</si>
  <si>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</si>
  <si>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</si>
  <si>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</si>
  <si>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</si>
  <si>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</si>
  <si>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</si>
  <si>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</si>
  <si>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</si>
  <si>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</si>
  <si>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</si>
  <si>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</si>
  <si>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</si>
  <si>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</si>
  <si>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</si>
  <si>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</si>
  <si>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</si>
  <si>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</si>
  <si>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</si>
  <si>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</si>
  <si>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</si>
  <si>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</si>
  <si>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</si>
  <si>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</si>
  <si>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</si>
  <si>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</si>
  <si>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</si>
  <si>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</si>
  <si>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</si>
  <si>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</si>
  <si>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</si>
  <si>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</si>
  <si>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</si>
  <si>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</si>
  <si>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</si>
  <si>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</si>
  <si>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</si>
  <si>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</si>
  <si>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</si>
  <si>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</si>
  <si>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</si>
  <si>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</si>
  <si>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</si>
  <si>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</si>
  <si>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</si>
  <si>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</si>
  <si>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</si>
  <si>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</si>
  <si>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</si>
  <si>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</si>
  <si>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</si>
  <si>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</si>
  <si>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</si>
  <si>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</si>
  <si>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</si>
  <si>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</si>
  <si>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</si>
  <si>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</si>
  <si>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</si>
  <si>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</si>
  <si>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</si>
  <si>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</si>
  <si>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</si>
  <si>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</si>
  <si>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</si>
  <si>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</si>
  <si>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</si>
  <si>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</si>
  <si>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</si>
  <si>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</si>
  <si>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</si>
  <si>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</si>
  <si>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</si>
  <si>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</si>
  <si>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</si>
  <si>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</si>
  <si>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</si>
  <si>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</si>
  <si>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</si>
  <si>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</si>
  <si>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</si>
  <si>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</si>
  <si>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</si>
  <si>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</si>
  <si>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</si>
  <si>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</si>
  <si>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</si>
  <si>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</si>
  <si>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</si>
  <si>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</si>
  <si>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</si>
  <si>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</si>
  <si>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</si>
  <si>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</si>
  <si>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</si>
  <si>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</si>
  <si>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</si>
  <si>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</si>
  <si>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</si>
  <si>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</si>
  <si>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</si>
  <si>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</si>
  <si>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</si>
  <si>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</si>
  <si>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</si>
  <si>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</si>
  <si>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</si>
  <si>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</si>
  <si>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</si>
  <si>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</si>
  <si>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</si>
  <si>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</si>
  <si>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</si>
  <si>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</si>
  <si>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</si>
  <si>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</si>
  <si>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</si>
  <si>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</si>
  <si>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</si>
  <si>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</si>
  <si>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</si>
  <si>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</si>
  <si>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</si>
  <si>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</si>
  <si>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</si>
  <si>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</si>
  <si>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</si>
  <si>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</si>
  <si>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</si>
  <si>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</si>
  <si>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</si>
  <si>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</si>
  <si>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</si>
  <si>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</si>
  <si>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</si>
  <si>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</si>
  <si>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</si>
  <si>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</si>
  <si>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</si>
  <si>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</si>
  <si>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</si>
  <si>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</si>
  <si>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</si>
  <si>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</si>
  <si>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</si>
  <si>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</si>
  <si>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</si>
  <si>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</si>
  <si>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</si>
  <si>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</si>
  <si>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</si>
  <si>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</si>
  <si>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</si>
  <si>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</si>
  <si>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</si>
  <si>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</si>
  <si>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</si>
  <si>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</si>
  <si>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</si>
  <si>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</si>
  <si>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</si>
  <si>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</si>
  <si>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</si>
  <si>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</si>
  <si>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</si>
  <si>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</si>
  <si>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</si>
  <si>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</si>
  <si>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</si>
  <si>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</si>
  <si>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</si>
  <si>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</si>
  <si>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</si>
  <si>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</si>
  <si>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</si>
  <si>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</si>
  <si>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</si>
  <si>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</si>
  <si>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</si>
  <si>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</si>
  <si>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</si>
  <si>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</si>
  <si>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</si>
  <si>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</si>
  <si>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</si>
  <si>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</si>
  <si>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</si>
  <si>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</si>
  <si>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</si>
  <si>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</si>
  <si>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</si>
  <si>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</si>
  <si>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</si>
  <si>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</si>
  <si>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</si>
  <si>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</si>
  <si>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</si>
  <si>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</si>
  <si>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</si>
  <si>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</si>
  <si>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</si>
  <si>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</si>
  <si>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</si>
  <si>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</si>
  <si>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</si>
  <si>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</si>
  <si>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</si>
  <si>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</si>
  <si>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</si>
  <si>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</si>
  <si>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</si>
  <si>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</si>
  <si>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</si>
  <si>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</si>
  <si>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</si>
  <si>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</si>
  <si>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</si>
  <si>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</si>
  <si>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</si>
  <si>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</si>
  <si>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</si>
  <si>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</si>
  <si>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</si>
  <si>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</si>
  <si>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</si>
  <si>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</si>
  <si>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</si>
  <si>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</si>
  <si>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</si>
  <si>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</si>
  <si>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</si>
  <si>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</si>
  <si>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</si>
  <si>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</si>
  <si>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</si>
  <si>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</si>
  <si>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</si>
  <si>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</si>
  <si>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</si>
  <si>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</si>
  <si>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</si>
  <si>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</si>
  <si>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</si>
  <si>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</si>
  <si>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</si>
  <si>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</si>
  <si>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</si>
  <si>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</si>
  <si>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</si>
  <si>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</si>
  <si>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</si>
  <si>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</si>
  <si>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</si>
  <si>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</si>
  <si>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</si>
  <si>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</si>
  <si>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</si>
  <si>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</si>
  <si>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</si>
  <si>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</si>
  <si>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</si>
  <si>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</si>
  <si>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</si>
  <si>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</si>
  <si>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</si>
  <si>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</si>
  <si>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</si>
  <si>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</si>
  <si>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</si>
  <si>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</si>
  <si>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</si>
  <si>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</si>
  <si>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</si>
  <si>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</si>
  <si>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</si>
  <si>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</si>
  <si>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</si>
  <si>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</si>
  <si>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</si>
  <si>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</si>
  <si>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</si>
  <si>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</si>
  <si>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</si>
  <si>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</si>
  <si>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</si>
  <si>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</si>
  <si>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</si>
  <si>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</si>
  <si>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</si>
  <si>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</si>
  <si>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</si>
  <si>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</si>
  <si>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</si>
  <si>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</si>
  <si>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</si>
  <si>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</si>
  <si>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</si>
  <si>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</si>
  <si>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</si>
  <si>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</si>
  <si>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</si>
  <si>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</si>
  <si>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</si>
  <si>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</si>
  <si>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</si>
  <si>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</si>
  <si>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</si>
  <si>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</si>
  <si>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</si>
  <si>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</si>
  <si>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</si>
  <si>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</si>
  <si>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</si>
  <si>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</si>
  <si>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</si>
  <si>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</si>
  <si>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</si>
  <si>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</si>
  <si>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</si>
  <si>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</si>
  <si>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</si>
  <si>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</si>
  <si>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</si>
  <si>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</si>
  <si>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</si>
  <si>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</si>
  <si>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</si>
  <si>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</si>
  <si>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</si>
  <si>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</si>
  <si>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</si>
  <si>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</si>
  <si>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</si>
  <si>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</si>
  <si>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</si>
  <si>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</si>
  <si>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</si>
  <si>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</si>
  <si>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</si>
  <si>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</si>
  <si>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</si>
  <si>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</si>
  <si>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</si>
  <si>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</si>
  <si>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</si>
  <si>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</si>
  <si>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</si>
  <si>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</si>
  <si>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</si>
  <si>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</si>
  <si>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</si>
  <si>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</si>
  <si>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</si>
  <si>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</si>
  <si>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</si>
  <si>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</si>
  <si>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</si>
  <si>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</si>
  <si>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</si>
  <si>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</si>
  <si>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</si>
  <si>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</si>
  <si>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</si>
  <si>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</si>
  <si>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</si>
  <si>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</si>
  <si>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</si>
  <si>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</si>
  <si>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</si>
  <si>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</si>
  <si>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</si>
  <si>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</si>
  <si>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</si>
  <si>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</si>
  <si>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</si>
  <si>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</si>
  <si>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</si>
  <si>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</si>
  <si>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</si>
  <si>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</si>
  <si>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</si>
  <si>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</si>
  <si>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</si>
  <si>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</si>
  <si>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</si>
  <si>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</si>
  <si>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</si>
  <si>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</si>
  <si>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</si>
  <si>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</si>
  <si>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</si>
  <si>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</si>
  <si>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</si>
  <si>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</si>
  <si>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</si>
  <si>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</si>
  <si>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</si>
  <si>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</si>
  <si>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</si>
  <si>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</si>
  <si>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</si>
  <si>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</si>
  <si>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</si>
  <si>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</si>
  <si>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</si>
  <si>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</si>
  <si>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</si>
  <si>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</si>
  <si>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</si>
  <si>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</si>
  <si>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</si>
  <si>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</si>
  <si>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</si>
  <si>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</si>
  <si>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</si>
  <si>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</si>
  <si>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</si>
  <si>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</si>
  <si>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</si>
  <si>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</si>
  <si>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</si>
  <si>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</si>
  <si>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</si>
  <si>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</si>
  <si>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</si>
  <si>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</si>
  <si>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</si>
  <si>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</si>
  <si>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</si>
  <si>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</si>
  <si>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</si>
  <si>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</si>
  <si>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</si>
  <si>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</si>
  <si>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</si>
  <si>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</si>
  <si>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</si>
  <si>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</si>
  <si>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</si>
  <si>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</si>
  <si>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</si>
  <si>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</si>
  <si>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</si>
  <si>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</si>
  <si>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</si>
  <si>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</si>
  <si>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</si>
  <si>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</si>
  <si>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</si>
  <si>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</si>
  <si>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</si>
  <si>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</si>
  <si>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</si>
  <si>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</si>
  <si>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</si>
  <si>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</si>
  <si>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</si>
  <si>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</si>
  <si>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</si>
  <si>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</si>
  <si>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</si>
  <si>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</si>
  <si>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</si>
  <si>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</si>
  <si>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</si>
  <si>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</si>
  <si>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</si>
  <si>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</si>
  <si>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</si>
  <si>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</si>
  <si>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</si>
  <si>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</si>
  <si>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</si>
  <si>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</si>
  <si>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</si>
  <si>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</si>
  <si>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</si>
  <si>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</si>
  <si>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</si>
  <si>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</si>
  <si>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</si>
  <si>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</si>
  <si>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</si>
  <si>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</si>
  <si>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</si>
  <si>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</si>
  <si>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</si>
  <si>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</si>
  <si>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</si>
  <si>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</si>
  <si>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</si>
  <si>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</si>
  <si>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</si>
  <si>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</si>
  <si>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</si>
  <si>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</si>
  <si>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</si>
  <si>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</si>
  <si>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</si>
  <si>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</si>
  <si>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</si>
  <si>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</si>
  <si>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</si>
  <si>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</si>
  <si>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</si>
  <si>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</si>
  <si>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</si>
  <si>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</si>
  <si>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</si>
  <si>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</si>
  <si>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</si>
  <si>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</si>
  <si>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</si>
  <si>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</si>
  <si>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</si>
  <si>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</si>
  <si>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</si>
  <si>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</si>
  <si>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</si>
  <si>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</si>
  <si>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</si>
  <si>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</si>
  <si>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</si>
  <si>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</si>
  <si>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</si>
  <si>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</si>
  <si>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</si>
  <si>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</si>
  <si>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</si>
  <si>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</si>
  <si>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</si>
  <si>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</si>
  <si>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</si>
  <si>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</si>
  <si>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</si>
  <si>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</si>
  <si>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</si>
  <si>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</si>
  <si>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</si>
  <si>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</si>
  <si>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</si>
  <si>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</si>
  <si>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</si>
  <si>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</si>
  <si>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</si>
  <si>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</si>
  <si>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</si>
  <si>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</si>
  <si>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</si>
  <si>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</si>
  <si>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</si>
  <si>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</si>
  <si>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</si>
  <si>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</si>
  <si>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</si>
  <si>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</si>
  <si>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</si>
  <si>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</si>
  <si>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</si>
  <si>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</si>
  <si>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</si>
  <si>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</si>
  <si>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</si>
  <si>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</si>
  <si>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</si>
  <si>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</si>
  <si>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</si>
  <si>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</si>
  <si>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</si>
  <si>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</si>
  <si>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</si>
  <si>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</si>
  <si>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</si>
  <si>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</si>
  <si>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</si>
  <si>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</si>
  <si>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</si>
  <si>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</si>
  <si>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</si>
  <si>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</si>
  <si>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</si>
  <si>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</si>
  <si>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</si>
  <si>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</si>
  <si>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</si>
  <si>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</si>
  <si>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</si>
  <si>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</si>
  <si>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</si>
  <si>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</si>
  <si>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</si>
  <si>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</si>
  <si>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</si>
  <si>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</si>
  <si>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</si>
  <si>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</si>
  <si>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</si>
  <si>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</si>
  <si>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</si>
  <si>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</si>
  <si>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</si>
  <si>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</si>
  <si>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</si>
  <si>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</si>
  <si>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</si>
  <si>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</si>
  <si>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</si>
  <si>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</si>
  <si>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</si>
  <si>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</si>
  <si>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</si>
  <si>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</si>
  <si>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</si>
  <si>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</si>
  <si>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</si>
  <si>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</si>
  <si>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</si>
  <si>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</si>
  <si>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</si>
  <si>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</si>
  <si>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</si>
  <si>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</si>
  <si>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</si>
  <si>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</si>
  <si>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</si>
  <si>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</si>
  <si>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</si>
  <si>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</si>
  <si>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</si>
  <si>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</si>
  <si>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</si>
  <si>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</si>
  <si>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</si>
  <si>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</si>
  <si>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</si>
  <si>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</si>
  <si>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</si>
  <si>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</si>
  <si>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</si>
  <si>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</si>
  <si>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</si>
  <si>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</si>
  <si>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</si>
  <si>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</si>
  <si>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</si>
  <si>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</si>
  <si>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</si>
  <si>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</si>
  <si>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</si>
  <si>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</si>
  <si>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</si>
  <si>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</si>
  <si>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</si>
  <si>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</si>
  <si>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</si>
  <si>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</si>
  <si>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</si>
  <si>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</si>
  <si>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</si>
  <si>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</si>
  <si>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</si>
  <si>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</si>
  <si>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</si>
  <si>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</si>
  <si>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</si>
  <si>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</si>
  <si>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</si>
  <si>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</si>
  <si>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</si>
  <si>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</si>
  <si>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</si>
  <si>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</si>
  <si>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</si>
  <si>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</si>
  <si>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</si>
  <si>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</si>
  <si>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</si>
  <si>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</si>
  <si>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</si>
  <si>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</si>
  <si>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</si>
  <si>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</si>
  <si>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</si>
  <si>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</si>
  <si>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</si>
  <si>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</si>
  <si>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</si>
  <si>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</si>
  <si>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</si>
  <si>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</si>
  <si>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</si>
  <si>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</si>
  <si>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</si>
  <si>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</si>
  <si>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</si>
  <si>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</si>
  <si>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</si>
  <si>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</si>
  <si>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</si>
  <si>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</si>
  <si>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</si>
  <si>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</si>
  <si>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</si>
  <si>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</si>
  <si>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</si>
  <si>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</si>
  <si>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</si>
  <si>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</si>
  <si>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</si>
  <si>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</si>
  <si>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</si>
  <si>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</si>
  <si>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</si>
  <si>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</si>
  <si>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</si>
  <si>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</si>
  <si>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</si>
  <si>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</si>
  <si>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</si>
  <si>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</si>
  <si>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</si>
  <si>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</si>
  <si>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</si>
  <si>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</si>
  <si>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</si>
  <si>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</si>
  <si>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</si>
  <si>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</si>
  <si>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</si>
  <si>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</si>
  <si>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</si>
  <si>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</si>
  <si>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</si>
  <si>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</si>
  <si>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</si>
  <si>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</si>
  <si>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</si>
  <si>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</si>
  <si>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</si>
  <si>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</si>
  <si>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</si>
  <si>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</si>
  <si>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</si>
  <si>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</si>
  <si>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</si>
  <si>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</si>
  <si>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</si>
  <si>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</si>
  <si>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</si>
  <si>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</si>
  <si>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</si>
  <si>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</si>
  <si>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</si>
  <si>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</si>
  <si>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</si>
  <si>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</si>
  <si>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</si>
  <si>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</si>
  <si>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</si>
  <si>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</si>
  <si>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</si>
  <si>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</si>
  <si>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</si>
  <si>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</si>
  <si>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</si>
  <si>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</si>
  <si>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</si>
  <si>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</si>
  <si>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</si>
  <si>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</si>
  <si>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</si>
  <si>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</si>
  <si>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</si>
  <si>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</si>
  <si>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</si>
  <si>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</si>
  <si>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</si>
  <si>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</si>
  <si>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</si>
  <si>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</si>
  <si>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</si>
  <si>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</si>
  <si>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</si>
  <si>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</si>
  <si>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</si>
  <si>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</si>
  <si>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</si>
  <si>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</si>
  <si>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</si>
  <si>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</si>
  <si>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</si>
  <si>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</si>
  <si>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</si>
  <si>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</si>
  <si>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</si>
  <si>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</si>
  <si>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</si>
  <si>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</si>
  <si>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</si>
  <si>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</si>
  <si>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</si>
  <si>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</si>
  <si>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</si>
  <si>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</si>
  <si>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</si>
  <si>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</si>
  <si>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</si>
  <si>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</si>
  <si>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</si>
  <si>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</si>
  <si>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</si>
  <si>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</si>
  <si>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</si>
  <si>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</si>
  <si>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</si>
  <si>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</si>
  <si>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</si>
  <si>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</si>
  <si>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</si>
  <si>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</si>
  <si>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</si>
  <si>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</si>
  <si>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</si>
  <si>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</si>
  <si>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</si>
  <si>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</si>
  <si>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</si>
  <si>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</si>
  <si>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</si>
  <si>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</si>
  <si>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</si>
  <si>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</si>
  <si>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</si>
  <si>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</si>
  <si>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</si>
  <si>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</si>
  <si>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</si>
  <si>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</si>
  <si>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</si>
  <si>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</si>
  <si>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</si>
  <si>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</si>
  <si>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</si>
  <si>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</si>
  <si>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</si>
  <si>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</si>
  <si>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</si>
  <si>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</si>
  <si>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</si>
  <si>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</si>
  <si>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</si>
  <si>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</si>
  <si>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</si>
  <si>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</si>
  <si>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</si>
  <si>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</si>
  <si>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</si>
  <si>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</si>
  <si>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</si>
  <si>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</si>
  <si>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</si>
  <si>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</si>
  <si>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</si>
  <si>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</si>
  <si>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</si>
  <si>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</si>
  <si>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</si>
  <si>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</si>
  <si>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</si>
  <si>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</si>
  <si>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</si>
  <si>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</si>
  <si>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</si>
  <si>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</si>
  <si>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</si>
  <si>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</si>
  <si>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</si>
  <si>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</si>
  <si>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</si>
  <si>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</si>
  <si>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</si>
  <si>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</si>
  <si>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</si>
  <si>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</si>
  <si>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</si>
  <si>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</si>
  <si>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</si>
  <si>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</si>
  <si>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</si>
  <si>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</si>
  <si>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</si>
  <si>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</si>
  <si>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</si>
  <si>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</si>
  <si>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</si>
  <si>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</si>
  <si>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</si>
  <si>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</si>
  <si>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</si>
  <si>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</si>
  <si>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</si>
  <si>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</si>
  <si>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</si>
  <si>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</si>
  <si>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</si>
  <si>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</si>
  <si>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</si>
  <si>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</si>
  <si>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</si>
  <si>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</si>
  <si>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</si>
  <si>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</si>
  <si>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</si>
  <si>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</si>
  <si>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</si>
  <si>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</si>
  <si>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</si>
  <si>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</si>
  <si>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</si>
  <si>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</si>
  <si>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</si>
  <si>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</si>
  <si>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</si>
  <si>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</si>
  <si>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</si>
  <si>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</si>
  <si>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</si>
  <si>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</si>
  <si>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</si>
  <si>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</si>
  <si>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</si>
  <si>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</si>
  <si>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</si>
  <si>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</si>
  <si>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</si>
  <si>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</si>
  <si>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</si>
  <si>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</si>
  <si>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</si>
  <si>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</si>
  <si>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</si>
  <si>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</si>
  <si>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</si>
  <si>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</si>
  <si>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</si>
  <si>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</si>
  <si>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</si>
  <si>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</si>
  <si>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</si>
  <si>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</si>
  <si>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</si>
  <si>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</si>
  <si>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</si>
  <si>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</si>
  <si>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</si>
  <si>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</si>
  <si>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</si>
  <si>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</si>
  <si>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</si>
  <si>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</si>
  <si>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</si>
  <si>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</si>
  <si>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</si>
  <si>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</si>
  <si>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</si>
  <si>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</si>
  <si>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</si>
  <si>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</si>
  <si>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</si>
  <si>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</si>
  <si>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</si>
  <si>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</si>
  <si>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</si>
  <si>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</si>
  <si>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</si>
  <si>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</si>
  <si>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</si>
  <si>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</si>
  <si>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</si>
  <si>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</si>
  <si>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</si>
  <si>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</si>
  <si>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</si>
  <si>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</si>
  <si>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</si>
  <si>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</si>
  <si>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</si>
  <si>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</si>
  <si>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</si>
  <si>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</si>
  <si>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</si>
  <si>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</si>
  <si>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</si>
  <si>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</si>
  <si>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</si>
  <si>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</si>
  <si>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</si>
  <si>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</si>
  <si>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</si>
  <si>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</si>
  <si>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</si>
  <si>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</si>
  <si>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</si>
  <si>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</si>
  <si>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</si>
  <si>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</si>
  <si>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</si>
  <si>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</si>
  <si>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</si>
  <si>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</si>
  <si>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</si>
  <si>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</si>
  <si>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</si>
  <si>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</si>
  <si>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</si>
  <si>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</si>
  <si>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</si>
  <si>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</si>
  <si>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</si>
  <si>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</si>
  <si>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</si>
  <si>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</si>
  <si>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</si>
  <si>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</si>
  <si>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</si>
  <si>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</si>
  <si>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</si>
  <si>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</si>
  <si>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</si>
  <si>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</si>
  <si>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</si>
  <si>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</si>
  <si>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</si>
  <si>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</si>
  <si>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</si>
  <si>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</si>
  <si>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</si>
  <si>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</si>
  <si>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</si>
  <si>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</si>
  <si>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</si>
  <si>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</si>
  <si>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</si>
  <si>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</si>
  <si>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</si>
  <si>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</si>
  <si>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</si>
  <si>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</si>
  <si>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</si>
  <si>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</si>
  <si>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</si>
  <si>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</si>
  <si>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</si>
  <si>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</si>
  <si>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</si>
  <si>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</si>
  <si>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</si>
  <si>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</si>
  <si>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</si>
  <si>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</si>
  <si>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</si>
  <si>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</si>
  <si>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</si>
  <si>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</si>
  <si>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</si>
  <si>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</si>
  <si>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</si>
  <si>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</si>
  <si>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</si>
  <si>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</si>
  <si>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</si>
  <si>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</si>
  <si>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</si>
  <si>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</si>
  <si>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</si>
  <si>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</si>
  <si>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</si>
  <si>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</si>
  <si>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</si>
  <si>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</si>
  <si>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</si>
  <si>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</si>
  <si>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</si>
  <si>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</si>
  <si>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</si>
  <si>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</si>
  <si>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</si>
  <si>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</si>
  <si>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</si>
  <si>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</si>
  <si>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</si>
  <si>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</si>
  <si>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</si>
  <si>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</si>
  <si>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</si>
  <si>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</si>
  <si>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</si>
  <si>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</si>
  <si>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</si>
  <si>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</si>
  <si>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</si>
  <si>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</si>
  <si>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</si>
  <si>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</si>
  <si>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</si>
  <si>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</si>
  <si>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</si>
  <si>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</si>
  <si>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</si>
  <si>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</si>
  <si>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</si>
  <si>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</si>
  <si>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</si>
  <si>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</si>
  <si>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</si>
  <si>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</si>
  <si>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</si>
  <si>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</si>
  <si>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</si>
  <si>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</si>
  <si>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</si>
  <si>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</si>
  <si>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</si>
  <si>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</si>
  <si>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</si>
  <si>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</si>
  <si>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</si>
  <si>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</si>
  <si>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</si>
  <si>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</si>
  <si>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</si>
  <si>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</si>
  <si>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</si>
  <si>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</si>
  <si>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</si>
  <si>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</si>
  <si>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</si>
  <si>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</si>
  <si>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</si>
  <si>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</si>
  <si>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</si>
  <si>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</si>
  <si>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</si>
  <si>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</si>
  <si>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</si>
  <si>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</si>
  <si>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</si>
  <si>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</si>
  <si>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</si>
  <si>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</si>
  <si>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</si>
  <si>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</si>
  <si>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</si>
  <si>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</si>
  <si>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</si>
  <si>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</si>
  <si>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</si>
  <si>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</si>
  <si>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</si>
  <si>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</si>
  <si>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</si>
  <si>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</si>
  <si>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</si>
  <si>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</si>
  <si>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</si>
  <si>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</si>
  <si>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</si>
  <si>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</si>
  <si>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</si>
  <si>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</si>
  <si>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</si>
  <si>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</si>
  <si>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</si>
  <si>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</si>
  <si>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</si>
  <si>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</si>
  <si>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</si>
  <si>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</si>
  <si>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</si>
  <si>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</si>
  <si>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</si>
  <si>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</si>
  <si>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</si>
  <si>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</si>
  <si>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</si>
  <si>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</si>
  <si>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</si>
  <si>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</si>
  <si>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</si>
  <si>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</si>
  <si>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</si>
  <si>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</si>
  <si>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</si>
  <si>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</si>
  <si>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</si>
  <si>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</si>
  <si>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</si>
  <si>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</si>
  <si>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</si>
  <si>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</si>
  <si>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</si>
  <si>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</si>
  <si>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</si>
  <si>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</si>
  <si>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</si>
  <si>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</si>
  <si>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</si>
  <si>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</si>
  <si>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</si>
  <si>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</si>
  <si>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</si>
  <si>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</si>
  <si>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</si>
  <si>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</si>
  <si>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</si>
  <si>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</si>
  <si>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</si>
  <si>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</si>
  <si>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</si>
  <si>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</si>
  <si>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</si>
  <si>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</si>
  <si>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</si>
  <si>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</si>
  <si>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</si>
  <si>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</si>
  <si>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</si>
  <si>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</si>
  <si>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</si>
  <si>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</si>
  <si>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</si>
  <si>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</si>
  <si>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</si>
  <si>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</si>
  <si>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</si>
  <si>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</si>
  <si>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</si>
  <si>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</si>
  <si>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</si>
  <si>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</si>
  <si>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</si>
  <si>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</si>
  <si>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</si>
  <si>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</si>
  <si>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</si>
  <si>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</si>
  <si>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</si>
  <si>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</si>
  <si>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</si>
  <si>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</si>
  <si>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</si>
  <si>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</si>
  <si>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</si>
  <si>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</si>
  <si>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</si>
  <si>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</si>
  <si>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</si>
  <si>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</si>
  <si>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</si>
  <si>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</si>
  <si>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</si>
  <si>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</si>
  <si>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</si>
  <si>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</si>
  <si>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</si>
  <si>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</si>
  <si>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</si>
  <si>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</si>
  <si>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</si>
  <si>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</si>
  <si>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</si>
  <si>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</si>
  <si>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</si>
  <si>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</si>
  <si>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</si>
  <si>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</si>
  <si>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</si>
  <si>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</si>
  <si>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</si>
  <si>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</si>
  <si>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</si>
  <si>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</si>
  <si>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</si>
  <si>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</si>
  <si>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</si>
  <si>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</si>
  <si>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</si>
  <si>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</si>
  <si>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</si>
  <si>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</si>
  <si>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</si>
  <si>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</si>
  <si>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</si>
  <si>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</si>
  <si>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</si>
  <si>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</si>
  <si>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</si>
  <si>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</si>
  <si>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</si>
  <si>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</si>
  <si>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</si>
  <si>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</si>
  <si>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</si>
  <si>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</si>
  <si>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</si>
  <si>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</si>
  <si>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</si>
  <si>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</si>
  <si>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</si>
  <si>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</si>
  <si>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</si>
  <si>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</si>
  <si>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</si>
  <si>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</si>
  <si>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</si>
  <si>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</si>
  <si>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</si>
  <si>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</si>
  <si>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</si>
  <si>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</si>
  <si>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</si>
  <si>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</si>
  <si>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</si>
  <si>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</si>
  <si>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</si>
  <si>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</si>
  <si>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</si>
  <si>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</si>
  <si>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</si>
  <si>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</si>
  <si>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</si>
  <si>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</si>
  <si>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</si>
  <si>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</si>
  <si>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</si>
  <si>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</si>
  <si>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</si>
  <si>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</si>
  <si>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</si>
  <si>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</si>
  <si>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</si>
  <si>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</si>
  <si>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</si>
  <si>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</si>
  <si>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</si>
  <si>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</si>
  <si>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</si>
  <si>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</si>
  <si>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</si>
  <si>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</si>
  <si>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</si>
  <si>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</si>
  <si>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</si>
  <si>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</si>
  <si>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</si>
  <si>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</si>
  <si>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</si>
  <si>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</si>
  <si>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</si>
  <si>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</si>
  <si>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</si>
  <si>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</si>
  <si>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</si>
  <si>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</si>
  <si>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</si>
  <si>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</si>
  <si>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</si>
  <si>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</si>
  <si>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</si>
  <si>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</si>
  <si>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</si>
  <si>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</si>
  <si>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</si>
  <si>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</si>
  <si>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</si>
  <si>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</si>
  <si>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</si>
  <si>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</si>
  <si>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</si>
  <si>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</si>
  <si>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</si>
  <si>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</si>
  <si>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</si>
  <si>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</si>
  <si>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</si>
  <si>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</si>
  <si>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</si>
  <si>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</si>
  <si>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</si>
  <si>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</si>
  <si>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</si>
  <si>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</si>
  <si>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</si>
  <si>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</si>
  <si>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</si>
  <si>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</si>
  <si>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</si>
  <si>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</si>
  <si>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</si>
  <si>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</si>
  <si>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</si>
  <si>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</si>
  <si>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</si>
  <si>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</si>
  <si>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</si>
  <si>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</si>
  <si>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</si>
  <si>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</si>
  <si>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</si>
  <si>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</si>
  <si>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</si>
  <si>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</si>
  <si>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</si>
  <si>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</si>
  <si>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</si>
  <si>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</si>
  <si>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</si>
  <si>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</si>
  <si>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</si>
  <si>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</si>
  <si>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</si>
  <si>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</si>
  <si>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</si>
  <si>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</si>
  <si>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</si>
  <si>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</si>
  <si>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</si>
  <si>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</si>
  <si>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</si>
  <si>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</si>
  <si>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</si>
  <si>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</si>
  <si>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</si>
  <si>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</si>
  <si>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</si>
  <si>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</si>
  <si>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</si>
  <si>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</si>
  <si>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</si>
  <si>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</si>
  <si>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</si>
  <si>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</si>
  <si>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</si>
  <si>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</si>
  <si>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</si>
  <si>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</si>
  <si>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</si>
  <si>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</si>
  <si>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</si>
  <si>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</si>
  <si>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</si>
  <si>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</si>
  <si>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</si>
  <si>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</si>
  <si>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</si>
  <si>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</si>
  <si>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</si>
  <si>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</si>
  <si>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</si>
  <si>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</si>
  <si>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</si>
  <si>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</si>
  <si>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</si>
  <si>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</si>
  <si>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</si>
  <si>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</si>
  <si>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</si>
  <si>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</si>
  <si>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</si>
  <si>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</si>
  <si>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</si>
  <si>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</si>
  <si>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</si>
  <si>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</si>
  <si>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</si>
  <si>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</si>
  <si>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</si>
  <si>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</si>
  <si>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</si>
  <si>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</si>
  <si>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</si>
  <si>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</si>
  <si>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</si>
  <si>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</si>
  <si>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</si>
  <si>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</si>
  <si>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</si>
  <si>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</si>
  <si>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</si>
  <si>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</si>
  <si>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</si>
  <si>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</si>
  <si>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</si>
  <si>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</si>
  <si>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</si>
  <si>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</si>
  <si>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</si>
  <si>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</si>
  <si>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</si>
  <si>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</si>
  <si>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</si>
  <si>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</si>
  <si>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</si>
  <si>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</si>
  <si>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</si>
  <si>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</si>
  <si>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</si>
  <si>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</si>
  <si>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</si>
  <si>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</si>
  <si>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</si>
  <si>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</si>
  <si>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</si>
  <si>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</si>
  <si>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</si>
  <si>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</si>
  <si>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</si>
  <si>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</si>
  <si>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</si>
  <si>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</si>
  <si>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</si>
  <si>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</si>
  <si>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</si>
  <si>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</si>
  <si>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</si>
  <si>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</si>
  <si>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</si>
  <si>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</si>
  <si>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</si>
  <si>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</si>
  <si>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</si>
  <si>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</si>
  <si>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</si>
  <si>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</si>
  <si>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</si>
  <si>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</si>
  <si>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</si>
  <si>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</si>
  <si>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</si>
  <si>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</si>
  <si>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</si>
  <si>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</si>
  <si>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</si>
  <si>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</si>
  <si>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</si>
  <si>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</si>
  <si>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</si>
  <si>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</si>
  <si>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</si>
  <si>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</si>
  <si>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</si>
  <si>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</si>
  <si>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</si>
  <si>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</si>
  <si>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</si>
  <si>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</si>
  <si>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</si>
  <si>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</si>
  <si>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</si>
  <si>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</si>
  <si>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</si>
  <si>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</si>
  <si>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</si>
  <si>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</si>
  <si>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</si>
  <si>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</si>
  <si>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</si>
  <si>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</si>
  <si>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</si>
  <si>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</si>
  <si>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</si>
  <si>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</si>
  <si>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</si>
  <si>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</si>
  <si>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</si>
  <si>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</si>
  <si>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</si>
  <si>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</si>
  <si>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</si>
  <si>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</si>
  <si>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</si>
  <si>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</si>
  <si>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</si>
  <si>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</si>
  <si>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</si>
  <si>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</si>
  <si>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</si>
  <si>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</si>
  <si>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</si>
  <si>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</si>
  <si>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</si>
  <si>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</si>
  <si>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</si>
  <si>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</si>
  <si>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</si>
  <si>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</si>
  <si>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</si>
  <si>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</si>
  <si>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</si>
  <si>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</si>
  <si>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</si>
  <si>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</si>
  <si>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</si>
  <si>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</si>
  <si>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</si>
  <si>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</si>
  <si>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</si>
  <si>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</si>
  <si>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</si>
  <si>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</si>
  <si>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</si>
  <si>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</si>
  <si>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</si>
  <si>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</si>
  <si>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</si>
  <si>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</si>
  <si>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</si>
  <si>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</si>
  <si>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</si>
  <si>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</si>
  <si>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</si>
  <si>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</si>
  <si>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</si>
  <si>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</si>
  <si>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</si>
  <si>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</si>
  <si>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</si>
  <si>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</si>
  <si>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</si>
  <si>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</si>
  <si>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</si>
  <si>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</si>
  <si>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</si>
  <si>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</si>
  <si>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</si>
  <si>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</si>
  <si>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</si>
  <si>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</si>
  <si>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</si>
  <si>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</si>
  <si>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</si>
  <si>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</si>
  <si>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</si>
  <si>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</si>
  <si>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</si>
  <si>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</si>
  <si>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</si>
  <si>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</si>
  <si>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</si>
  <si>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</si>
  <si>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</si>
  <si>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</si>
  <si>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</si>
  <si>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</si>
  <si>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</si>
  <si>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</si>
  <si>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</si>
  <si>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</si>
  <si>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</si>
  <si>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</si>
  <si>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</si>
  <si>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</si>
  <si>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</si>
  <si>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</si>
  <si>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</si>
  <si>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</si>
  <si>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</si>
  <si>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</si>
  <si>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</si>
  <si>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</si>
  <si>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</si>
  <si>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</si>
  <si>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</si>
  <si>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</si>
  <si>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</si>
  <si>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</si>
  <si>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</si>
  <si>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</si>
  <si>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</si>
  <si>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</si>
  <si>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</si>
  <si>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</si>
  <si>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</si>
  <si>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</si>
  <si>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</si>
  <si>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</si>
  <si>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</si>
  <si>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</si>
  <si>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</si>
  <si>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</si>
  <si>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</si>
  <si>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</si>
  <si>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</si>
  <si>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</si>
  <si>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</si>
  <si>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</si>
  <si>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</si>
  <si>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</si>
  <si>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</si>
  <si>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</si>
  <si>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</si>
  <si>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</si>
  <si>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</si>
  <si>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</si>
  <si>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</si>
  <si>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</si>
  <si>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</si>
  <si>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</si>
  <si>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</si>
  <si>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</si>
  <si>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</si>
  <si>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</si>
  <si>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</si>
  <si>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</si>
  <si>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</si>
  <si>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</si>
  <si>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</si>
  <si>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</si>
  <si>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</si>
  <si>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</si>
  <si>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</si>
  <si>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</si>
  <si>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</si>
  <si>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</si>
  <si>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</si>
  <si>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</si>
  <si>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</si>
  <si>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</si>
  <si>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</si>
  <si>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</si>
  <si>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</si>
  <si>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</si>
  <si>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</si>
  <si>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</si>
  <si>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</si>
  <si>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</si>
  <si>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</si>
  <si>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</si>
  <si>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</si>
  <si>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</si>
  <si>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</si>
  <si>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</si>
  <si>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</si>
  <si>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</si>
  <si>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</si>
  <si>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</si>
  <si>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</si>
  <si>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</si>
  <si>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</si>
  <si>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</si>
  <si>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</si>
  <si>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</si>
  <si>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</si>
  <si>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</si>
  <si>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</si>
  <si>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</si>
  <si>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</si>
  <si>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</si>
  <si>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</si>
  <si>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</si>
  <si>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</si>
  <si>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</si>
  <si>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</si>
  <si>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</si>
  <si>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</si>
  <si>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</si>
  <si>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</si>
  <si>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</si>
  <si>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</si>
  <si>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</si>
  <si>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</si>
  <si>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</si>
  <si>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</si>
  <si>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</si>
  <si>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</si>
  <si>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</si>
  <si>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</si>
  <si>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</si>
  <si>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</si>
  <si>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</si>
  <si>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</si>
  <si>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</si>
  <si>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</si>
  <si>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</si>
  <si>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</si>
  <si>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</si>
  <si>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</si>
  <si>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</si>
  <si>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</si>
  <si>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</si>
  <si>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</si>
  <si>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</si>
  <si>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</si>
  <si>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</si>
  <si>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</si>
  <si>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</si>
  <si>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</si>
  <si>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</si>
  <si>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</si>
  <si>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</si>
  <si>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</si>
  <si>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</si>
  <si>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</si>
  <si>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</si>
  <si>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</si>
  <si>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</si>
  <si>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</si>
  <si>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</si>
  <si>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</si>
  <si>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</si>
  <si>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</si>
  <si>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</si>
  <si>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</si>
  <si>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</si>
  <si>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</si>
  <si>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</si>
  <si>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</si>
  <si>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</si>
  <si>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</si>
  <si>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</si>
  <si>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</si>
  <si>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</si>
  <si>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</si>
  <si>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</si>
  <si>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</si>
  <si>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</si>
  <si>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</si>
  <si>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</si>
  <si>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</si>
  <si>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</si>
  <si>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</si>
  <si>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</si>
  <si>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</si>
  <si>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</si>
  <si>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</si>
  <si>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</si>
  <si>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</si>
  <si>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</si>
  <si>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</si>
  <si>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</si>
  <si>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</si>
  <si>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</si>
  <si>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</si>
  <si>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</si>
  <si>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</si>
  <si>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</si>
  <si>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</si>
  <si>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</si>
  <si>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</si>
  <si>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</si>
  <si>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</si>
  <si>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</si>
  <si>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</si>
  <si>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</si>
  <si>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</si>
  <si>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</si>
  <si>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</si>
  <si>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</si>
  <si>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</si>
  <si>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</si>
  <si>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</si>
  <si>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</si>
  <si>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</si>
  <si>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</si>
  <si>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</si>
  <si>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</si>
  <si>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</si>
  <si>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</si>
  <si>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</si>
  <si>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</si>
  <si>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</si>
  <si>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</si>
  <si>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</si>
  <si>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</si>
  <si>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</si>
  <si>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</si>
  <si>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</si>
  <si>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</si>
  <si>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</si>
  <si>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</si>
  <si>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</si>
  <si>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</si>
  <si>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</si>
  <si>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</si>
  <si>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</si>
  <si>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</si>
  <si>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</si>
  <si>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</si>
  <si>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</si>
  <si>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</si>
  <si>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</si>
  <si>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</si>
  <si>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</si>
  <si>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</si>
  <si>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</si>
  <si>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</si>
  <si>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</si>
  <si>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</si>
  <si>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</si>
  <si>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</si>
  <si>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</si>
  <si>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</si>
  <si>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</si>
  <si>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</si>
  <si>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</si>
  <si>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</si>
  <si>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</si>
  <si>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</si>
  <si>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</si>
  <si>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</si>
  <si>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</si>
  <si>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</si>
  <si>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</si>
  <si>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</si>
  <si>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</si>
  <si>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</si>
  <si>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</si>
  <si>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</si>
  <si>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</si>
  <si>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</si>
  <si>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</si>
  <si>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</si>
  <si>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</si>
  <si>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</si>
  <si>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</si>
  <si>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</si>
  <si>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</si>
  <si>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</si>
  <si>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</si>
  <si>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</si>
  <si>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</si>
  <si>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</si>
  <si>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</si>
  <si>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</si>
  <si>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</si>
  <si>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</si>
  <si>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</si>
  <si>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</si>
  <si>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</si>
  <si>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</si>
  <si>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</si>
  <si>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</si>
  <si>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</si>
  <si>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</si>
  <si>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</si>
  <si>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</si>
  <si>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</si>
  <si>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</si>
  <si>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</si>
  <si>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</si>
  <si>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</si>
  <si>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</si>
  <si>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</si>
  <si>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</si>
  <si>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</si>
  <si>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</si>
  <si>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</si>
  <si>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</si>
  <si>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</si>
  <si>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</si>
  <si>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</si>
  <si>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</si>
  <si>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</si>
  <si>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</si>
  <si>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</si>
  <si>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</si>
  <si>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</si>
  <si>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</si>
  <si>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</si>
  <si>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</si>
  <si>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</si>
  <si>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</si>
  <si>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</si>
  <si>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</si>
  <si>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</si>
  <si>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</si>
  <si>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</si>
  <si>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</si>
  <si>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</si>
  <si>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</si>
  <si>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</si>
  <si>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</si>
  <si>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</si>
  <si>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</si>
  <si>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</si>
  <si>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</si>
  <si>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</si>
  <si>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</si>
  <si>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</si>
  <si>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</si>
  <si>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</si>
  <si>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</si>
  <si>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</si>
  <si>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</si>
  <si>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</si>
  <si>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</si>
  <si>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</si>
  <si>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</si>
  <si>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</si>
  <si>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</si>
  <si>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</si>
  <si>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</si>
  <si>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</si>
  <si>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</si>
  <si>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</si>
  <si>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</si>
  <si>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</si>
  <si>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</si>
  <si>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</si>
  <si>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</si>
  <si>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</si>
  <si>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</si>
  <si>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</si>
  <si>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</si>
  <si>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</si>
  <si>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</si>
  <si>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</si>
  <si>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</si>
  <si>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</si>
  <si>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</si>
  <si>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</si>
  <si>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</si>
  <si>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</si>
  <si>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</si>
  <si>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</si>
  <si>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</si>
  <si>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</si>
  <si>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</si>
  <si>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</si>
  <si>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</si>
  <si>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</si>
  <si>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</si>
  <si>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</si>
  <si>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</si>
  <si>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</si>
  <si>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</si>
  <si>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</si>
  <si>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</si>
  <si>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</si>
  <si>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</si>
  <si>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</si>
  <si>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</si>
  <si>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</si>
  <si>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</si>
  <si>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</si>
  <si>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</si>
  <si>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</si>
  <si>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</si>
  <si>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</si>
  <si>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</si>
  <si>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</si>
  <si>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</si>
  <si>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</si>
  <si>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</si>
  <si>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</si>
  <si>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</si>
  <si>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</si>
  <si>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</si>
  <si>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</si>
  <si>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</si>
  <si>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</si>
  <si>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</si>
  <si>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</si>
  <si>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</si>
  <si>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</si>
  <si>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</si>
  <si>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</si>
  <si>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</si>
  <si>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</si>
  <si>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</si>
  <si>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</si>
  <si>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</si>
  <si>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</si>
  <si>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</si>
  <si>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</si>
  <si>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</si>
  <si>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</si>
  <si>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</si>
  <si>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</si>
  <si>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</si>
  <si>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</si>
  <si>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</si>
  <si>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</si>
  <si>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</si>
  <si>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</si>
  <si>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</si>
  <si>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</si>
  <si>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</si>
  <si>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</si>
  <si>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</si>
  <si>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</si>
  <si>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</si>
  <si>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</si>
  <si>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</si>
  <si>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</si>
  <si>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</si>
  <si>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</si>
  <si>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</si>
  <si>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</si>
  <si>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</si>
  <si>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</si>
  <si>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</si>
  <si>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</si>
  <si>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</si>
  <si>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</si>
  <si>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</si>
  <si>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</si>
  <si>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</si>
  <si>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</si>
  <si>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</si>
  <si>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</si>
  <si>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</si>
  <si>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</si>
  <si>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</si>
  <si>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</si>
  <si>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</si>
  <si>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</si>
  <si>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</si>
  <si>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</si>
  <si>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</si>
  <si>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</si>
  <si>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</si>
  <si>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</si>
  <si>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</si>
  <si>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</si>
  <si>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</si>
  <si>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</si>
  <si>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</si>
  <si>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</si>
  <si>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</si>
  <si>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</si>
  <si>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</si>
  <si>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</si>
  <si>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</si>
  <si>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</si>
  <si>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</si>
  <si>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</si>
  <si>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</si>
  <si>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</si>
  <si>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</si>
  <si>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</si>
  <si>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</si>
  <si>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</si>
  <si>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</si>
  <si>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</si>
  <si>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</si>
  <si>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</si>
  <si>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</si>
  <si>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</si>
  <si>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</si>
  <si>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</si>
  <si>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</si>
  <si>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</si>
  <si>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</si>
  <si>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</si>
  <si>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</si>
  <si>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</si>
  <si>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</si>
  <si>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</si>
  <si>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</si>
  <si>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</si>
  <si>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</si>
  <si>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</si>
  <si>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</si>
  <si>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</si>
  <si>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</si>
  <si>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</si>
  <si>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</si>
  <si>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</si>
  <si>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</si>
  <si>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</si>
  <si>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</si>
  <si>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</si>
  <si>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</si>
  <si>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</si>
  <si>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</si>
  <si>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</si>
  <si>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</si>
  <si>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</si>
  <si>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</si>
  <si>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</si>
  <si>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</si>
  <si>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</si>
  <si>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</si>
  <si>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</si>
  <si>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</si>
  <si>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</si>
  <si>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</si>
  <si>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</si>
  <si>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</si>
  <si>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</si>
  <si>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</si>
  <si>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</si>
  <si>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</si>
  <si>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</si>
  <si>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</si>
  <si>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</si>
  <si>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</si>
  <si>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</si>
  <si>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</si>
  <si>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</si>
  <si>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</si>
  <si>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</si>
  <si>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</si>
  <si>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</si>
  <si>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</si>
  <si>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</si>
  <si>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</si>
  <si>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</si>
  <si>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</si>
  <si>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</si>
  <si>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</si>
  <si>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</si>
  <si>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</si>
  <si>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</si>
  <si>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</si>
  <si>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</si>
  <si>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</si>
  <si>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</si>
  <si>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</si>
  <si>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</si>
  <si>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</si>
  <si>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</si>
  <si>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</si>
  <si>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</si>
  <si>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</si>
  <si>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</si>
  <si>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</si>
  <si>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</si>
  <si>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</si>
  <si>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</si>
  <si>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</si>
  <si>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</si>
  <si>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</si>
  <si>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</si>
  <si>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</si>
  <si>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</si>
  <si>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</si>
  <si>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</si>
  <si>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</si>
  <si>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</si>
  <si>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</si>
  <si>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</si>
  <si>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</si>
  <si>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</si>
  <si>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</si>
  <si>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</si>
  <si>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</si>
  <si>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</si>
  <si>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</si>
  <si>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</si>
  <si>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</si>
  <si>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</si>
  <si>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</si>
  <si>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</si>
  <si>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</si>
  <si>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</si>
  <si>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</si>
  <si>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</si>
  <si>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</si>
  <si>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</si>
  <si>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</si>
  <si>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</si>
  <si>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</si>
  <si>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</si>
  <si>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</si>
  <si>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</si>
  <si>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</si>
  <si>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</si>
  <si>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</si>
  <si>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</si>
  <si>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</si>
  <si>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</si>
  <si>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</si>
  <si>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</si>
  <si>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</si>
  <si>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</si>
  <si>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</si>
  <si>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</si>
  <si>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</si>
  <si>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</si>
  <si>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</si>
  <si>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</si>
  <si>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</si>
  <si>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</si>
  <si>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</si>
  <si>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</si>
  <si>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</si>
  <si>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</si>
  <si>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</si>
  <si>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</si>
  <si>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</si>
  <si>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</si>
  <si>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</si>
  <si>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</si>
  <si>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</si>
  <si>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</si>
  <si>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</si>
  <si>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</si>
  <si>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</si>
  <si>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</si>
  <si>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</si>
  <si>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</si>
  <si>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</si>
  <si>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</si>
  <si>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</si>
  <si>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</si>
  <si>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</si>
  <si>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</si>
  <si>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</si>
  <si>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</si>
  <si>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</si>
  <si>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</si>
  <si>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</si>
  <si>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</si>
  <si>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</si>
  <si>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</si>
  <si>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</si>
  <si>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</si>
  <si>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</si>
  <si>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</si>
  <si>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</si>
  <si>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</si>
  <si>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</si>
  <si>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</si>
  <si>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</si>
  <si>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</si>
  <si>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</si>
  <si>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</si>
  <si>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</si>
  <si>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</si>
  <si>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</si>
  <si>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</si>
  <si>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</si>
  <si>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</si>
  <si>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</si>
  <si>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</si>
  <si>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</si>
  <si>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</si>
  <si>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</si>
  <si>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</si>
  <si>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</si>
  <si>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</si>
  <si>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</si>
  <si>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</si>
  <si>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</si>
  <si>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</si>
  <si>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</si>
  <si>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</si>
  <si>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</si>
  <si>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</si>
  <si>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</si>
  <si>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</si>
  <si>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</si>
  <si>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</si>
  <si>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</si>
  <si>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</si>
  <si>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</si>
  <si>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</si>
  <si>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</si>
  <si>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</si>
  <si>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</si>
  <si>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</si>
  <si>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</si>
  <si>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</si>
  <si>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</si>
  <si>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</si>
  <si>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</si>
  <si>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</si>
  <si>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</si>
  <si>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</si>
  <si>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</si>
  <si>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</si>
  <si>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</si>
  <si>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</si>
  <si>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</si>
  <si>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</si>
  <si>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</si>
  <si>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</si>
  <si>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</si>
  <si>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</si>
  <si>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</si>
  <si>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</si>
  <si>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</si>
  <si>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</si>
  <si>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</si>
  <si>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</si>
  <si>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</si>
  <si>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</si>
  <si>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</si>
  <si>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</si>
  <si>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</si>
  <si>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</si>
  <si>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</si>
  <si>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</si>
  <si>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</si>
  <si>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</si>
  <si>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</si>
  <si>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</si>
  <si>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</si>
  <si>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</si>
  <si>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</si>
  <si>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</si>
  <si>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</si>
  <si>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</si>
  <si>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</si>
  <si>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</si>
  <si>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</si>
  <si>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</si>
  <si>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</si>
  <si>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</si>
  <si>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</si>
  <si>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</si>
  <si>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</si>
  <si>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</si>
  <si>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</si>
  <si>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</si>
  <si>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</si>
  <si>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</si>
  <si>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</si>
  <si>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</si>
  <si>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</si>
  <si>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</si>
  <si>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</si>
  <si>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</si>
  <si>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</si>
  <si>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</si>
  <si>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</si>
  <si>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</si>
  <si>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</si>
  <si>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</si>
  <si>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</si>
  <si>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</si>
  <si>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</si>
  <si>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</si>
  <si>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</si>
  <si>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</si>
  <si>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</si>
  <si>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</si>
  <si>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</si>
  <si>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</si>
  <si>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</si>
  <si>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</si>
  <si>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</si>
  <si>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</si>
  <si>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</si>
  <si>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</si>
  <si>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</si>
  <si>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</si>
  <si>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</si>
  <si>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</si>
  <si>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</si>
  <si>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</si>
  <si>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</si>
  <si>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</si>
  <si>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</si>
  <si>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</si>
  <si>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</si>
  <si>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</si>
  <si>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</si>
  <si>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</si>
  <si>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</si>
  <si>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</si>
  <si>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</si>
  <si>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</si>
  <si>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</si>
  <si>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</si>
  <si>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</si>
  <si>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</si>
  <si>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</si>
  <si>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</si>
  <si>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</si>
  <si>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</si>
  <si>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</si>
  <si>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</si>
  <si>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</si>
  <si>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</si>
  <si>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</si>
  <si>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</si>
  <si>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</si>
  <si>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</si>
  <si>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</si>
  <si>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</si>
  <si>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</si>
  <si>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</si>
  <si>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</si>
  <si>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</si>
  <si>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</si>
  <si>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</si>
  <si>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</si>
  <si>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</si>
  <si>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</si>
  <si>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</si>
  <si>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</si>
  <si>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</si>
  <si>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</si>
  <si>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</si>
  <si>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</si>
  <si>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</si>
  <si>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</si>
  <si>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</si>
  <si>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</si>
  <si>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</si>
  <si>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</si>
  <si>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</si>
  <si>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</si>
  <si>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</si>
  <si>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</si>
  <si>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</si>
  <si>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</si>
  <si>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</si>
  <si>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</si>
  <si>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</si>
  <si>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</si>
  <si>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</si>
  <si>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</si>
  <si>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</si>
  <si>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</si>
  <si>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</si>
  <si>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</si>
  <si>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</si>
  <si>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</si>
  <si>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</si>
  <si>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</si>
  <si>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</si>
  <si>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</si>
  <si>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</si>
  <si>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</si>
  <si>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</si>
  <si>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</si>
  <si>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</si>
  <si>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</si>
  <si>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</si>
  <si>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</si>
  <si>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</si>
  <si>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</si>
  <si>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</si>
  <si>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</si>
  <si>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</si>
  <si>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</si>
  <si>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</si>
  <si>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</si>
  <si>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</si>
  <si>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</si>
  <si>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</si>
  <si>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</si>
  <si>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</si>
  <si>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</si>
  <si>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</si>
  <si>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</si>
  <si>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</si>
  <si>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</si>
  <si>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</si>
  <si>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</si>
  <si>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</si>
  <si>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</si>
  <si>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</si>
  <si>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</si>
  <si>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</si>
  <si>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</si>
  <si>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</si>
  <si>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</si>
  <si>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</si>
  <si>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</si>
  <si>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</si>
  <si>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</si>
  <si>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</si>
  <si>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</si>
  <si>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</si>
  <si>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</si>
  <si>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</si>
  <si>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</si>
  <si>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</si>
  <si>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</si>
  <si>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</si>
  <si>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</si>
  <si>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</si>
  <si>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</si>
  <si>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</si>
  <si>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</si>
  <si>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</si>
  <si>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</si>
  <si>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</si>
  <si>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</si>
  <si>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</si>
  <si>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</si>
  <si>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</si>
  <si>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</si>
  <si>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</si>
  <si>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</si>
  <si>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</si>
  <si>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</si>
  <si>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</si>
  <si>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</si>
  <si>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</si>
  <si>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</si>
  <si>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</si>
  <si>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</si>
  <si>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</si>
  <si>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</si>
  <si>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</si>
  <si>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</si>
  <si>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</si>
  <si>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</si>
  <si>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</si>
  <si>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</si>
  <si>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</si>
  <si>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</si>
  <si>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</si>
  <si>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</si>
  <si>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</si>
  <si>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</si>
  <si>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</si>
  <si>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</si>
  <si>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</si>
  <si>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</si>
  <si>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</si>
  <si>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</si>
  <si>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</si>
  <si>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</si>
  <si>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</si>
  <si>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</si>
  <si>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</si>
  <si>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</si>
  <si>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</si>
  <si>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</si>
  <si>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</si>
  <si>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</si>
  <si>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</si>
  <si>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</si>
  <si>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</si>
  <si>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</si>
  <si>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</si>
  <si>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</si>
  <si>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</si>
  <si>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</si>
  <si>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</si>
  <si>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</si>
  <si>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</si>
  <si>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</si>
  <si>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</si>
  <si>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</si>
  <si>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</si>
  <si>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</si>
  <si>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</si>
  <si>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</si>
  <si>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</si>
  <si>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</si>
  <si>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</si>
  <si>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</si>
  <si>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</si>
  <si>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</si>
  <si>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</si>
  <si>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</si>
  <si>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</si>
  <si>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</si>
  <si>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</si>
  <si>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</si>
  <si>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</si>
  <si>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</si>
  <si>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</si>
  <si>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</si>
  <si>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</si>
  <si>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</si>
  <si>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</si>
  <si>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</si>
  <si>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</si>
  <si>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</si>
  <si>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</si>
  <si>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</si>
  <si>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</si>
  <si>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</si>
  <si>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</si>
  <si>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</si>
  <si>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</si>
  <si>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</si>
  <si>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</si>
  <si>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</si>
  <si>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</si>
  <si>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</si>
  <si>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</si>
  <si>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</si>
  <si>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</si>
  <si>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</si>
  <si>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</si>
  <si>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</si>
  <si>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</si>
  <si>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</si>
  <si>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</si>
  <si>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</si>
  <si>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</si>
  <si>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</si>
  <si>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</si>
  <si>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</si>
  <si>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</si>
  <si>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</si>
  <si>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</si>
  <si>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</si>
  <si>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</si>
  <si>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</si>
  <si>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</si>
  <si>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</si>
  <si>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</si>
  <si>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</si>
  <si>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</si>
  <si>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</si>
  <si>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</si>
  <si>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</si>
  <si>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</si>
  <si>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</si>
  <si>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</si>
  <si>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</si>
  <si>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</si>
  <si>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</si>
  <si>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</si>
  <si>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</si>
  <si>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</si>
  <si>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</si>
  <si>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</si>
  <si>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</si>
  <si>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</si>
  <si>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</si>
  <si>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</si>
  <si>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</si>
  <si>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</si>
  <si>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</si>
  <si>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</si>
  <si>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</si>
  <si>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</si>
  <si>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</si>
  <si>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</si>
  <si>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</si>
  <si>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</si>
  <si>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</si>
  <si>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</si>
  <si>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</si>
  <si>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</si>
  <si>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</si>
  <si>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</si>
  <si>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</si>
  <si>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</si>
  <si>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</si>
  <si>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</si>
  <si>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</si>
  <si>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</si>
  <si>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</si>
  <si>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</si>
  <si>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</si>
  <si>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</si>
  <si>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</si>
  <si>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</si>
  <si>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</si>
  <si>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</si>
  <si>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</si>
  <si>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</si>
  <si>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</si>
  <si>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</si>
  <si>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</si>
  <si>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</si>
  <si>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</si>
  <si>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</si>
  <si>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</si>
  <si>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</si>
  <si>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</si>
  <si>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</si>
  <si>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</si>
  <si>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</si>
  <si>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</si>
  <si>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</si>
  <si>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</si>
  <si>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</si>
  <si>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</si>
  <si>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</si>
  <si>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</si>
  <si>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</si>
  <si>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</si>
  <si>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</si>
  <si>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</si>
  <si>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</si>
  <si>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</si>
  <si>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</si>
  <si>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</si>
  <si>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</si>
  <si>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</si>
  <si>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</si>
  <si>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</si>
  <si>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</si>
  <si>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</si>
  <si>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</si>
  <si>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</si>
  <si>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</si>
  <si>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</si>
  <si>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</si>
  <si>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</si>
  <si>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</si>
  <si>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</si>
  <si>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</si>
  <si>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</si>
  <si>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</si>
  <si>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</si>
  <si>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</si>
  <si>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</si>
  <si>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</si>
  <si>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</si>
  <si>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</si>
  <si>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</si>
  <si>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</si>
  <si>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</si>
  <si>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</si>
  <si>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</si>
  <si>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</si>
  <si>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</si>
  <si>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</si>
  <si>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</si>
  <si>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</si>
  <si>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</si>
  <si>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</si>
  <si>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</si>
  <si>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</si>
  <si>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</si>
  <si>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</si>
  <si>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</si>
  <si>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</si>
  <si>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</si>
  <si>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</si>
  <si>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</si>
  <si>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</si>
  <si>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</si>
  <si>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</si>
  <si>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</si>
  <si>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</si>
  <si>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</si>
  <si>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</si>
  <si>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</si>
  <si>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</si>
  <si>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</si>
  <si>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</si>
  <si>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</si>
  <si>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</si>
  <si>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</si>
  <si>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</si>
  <si>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</si>
  <si>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</si>
  <si>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</si>
  <si>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</si>
  <si>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</si>
  <si>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</si>
  <si>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</si>
  <si>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</si>
  <si>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</si>
  <si>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</si>
  <si>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</si>
  <si>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</si>
  <si>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</si>
  <si>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</si>
  <si>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</si>
  <si>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</si>
  <si>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</si>
  <si>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</si>
  <si>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</si>
  <si>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</si>
  <si>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</si>
  <si>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</si>
  <si>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</si>
  <si>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</si>
  <si>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</si>
  <si>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</si>
  <si>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</si>
  <si>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</si>
  <si>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</si>
  <si>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</si>
  <si>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</si>
  <si>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</si>
  <si>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</si>
  <si>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</si>
  <si>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</si>
  <si>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</si>
  <si>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</si>
  <si>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</si>
  <si>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</si>
  <si>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</si>
  <si>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</si>
  <si>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</si>
  <si>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</si>
  <si>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</si>
  <si>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</si>
  <si>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</si>
  <si>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</si>
  <si>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</si>
  <si>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</si>
  <si>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</si>
  <si>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</si>
  <si>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</si>
  <si>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</si>
  <si>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</si>
  <si>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</si>
  <si>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</si>
  <si>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</si>
  <si>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</si>
  <si>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</si>
  <si>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</si>
  <si>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</si>
  <si>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</si>
  <si>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</si>
  <si>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</si>
  <si>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</si>
  <si>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</si>
  <si>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</si>
  <si>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</si>
  <si>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</si>
  <si>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</si>
  <si>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</si>
  <si>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</si>
  <si>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</si>
  <si>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</si>
  <si>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</si>
  <si>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</si>
  <si>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</si>
  <si>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</si>
  <si>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</si>
  <si>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</si>
  <si>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</si>
  <si>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</si>
  <si>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</si>
  <si>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</si>
  <si>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</si>
  <si>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</si>
  <si>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</si>
  <si>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</si>
  <si>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</si>
  <si>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</si>
  <si>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</si>
  <si>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</si>
  <si>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</si>
  <si>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</si>
  <si>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</si>
  <si>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</si>
  <si>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</si>
  <si>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</si>
  <si>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</si>
  <si>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</si>
  <si>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</si>
  <si>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</si>
  <si>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</si>
  <si>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</si>
  <si>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</si>
  <si>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</si>
  <si>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</si>
  <si>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</si>
  <si>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</si>
  <si>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</si>
  <si>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</si>
  <si>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</si>
  <si>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</si>
  <si>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</si>
  <si>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</si>
  <si>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</si>
  <si>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</si>
  <si>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</si>
  <si>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</si>
  <si>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</si>
  <si>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</si>
  <si>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</si>
  <si>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</si>
  <si>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</si>
  <si>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</si>
  <si>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</si>
  <si>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</si>
  <si>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</si>
  <si>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</si>
  <si>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</si>
  <si>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</si>
  <si>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</si>
  <si>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</si>
  <si>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</si>
  <si>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</si>
  <si>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</si>
  <si>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</si>
  <si>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</si>
  <si>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</si>
  <si>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</si>
  <si>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</si>
  <si>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</si>
  <si>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</si>
  <si>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</si>
  <si>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</si>
  <si>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</si>
  <si>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</si>
  <si>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</si>
  <si>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</si>
  <si>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</si>
  <si>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</si>
  <si>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</si>
  <si>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</si>
  <si>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</si>
  <si>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</si>
  <si>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</si>
  <si>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</si>
  <si>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</si>
  <si>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</si>
  <si>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</si>
  <si>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</si>
  <si>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</si>
  <si>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</si>
  <si>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</si>
  <si>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</si>
  <si>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</si>
  <si>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</si>
  <si>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</si>
  <si>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</si>
  <si>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</si>
  <si>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</si>
  <si>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</si>
  <si>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</si>
  <si>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</si>
  <si>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</si>
  <si>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</si>
  <si>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</si>
  <si>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</si>
  <si>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</si>
  <si>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</si>
  <si>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</si>
  <si>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</si>
  <si>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</si>
  <si>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</si>
  <si>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</si>
  <si>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</si>
  <si>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</si>
  <si>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</si>
  <si>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</si>
  <si>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</si>
  <si>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</si>
  <si>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</si>
  <si>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</si>
  <si>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</si>
  <si>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</si>
  <si>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</si>
  <si>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</si>
  <si>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</si>
  <si>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</si>
  <si>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</si>
  <si>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</si>
  <si>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</si>
  <si>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</si>
  <si>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</si>
  <si>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</si>
  <si>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</si>
  <si>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</si>
  <si>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</si>
  <si>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</si>
  <si>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</si>
  <si>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</si>
  <si>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</si>
  <si>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</si>
  <si>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</si>
  <si>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</si>
  <si>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</si>
  <si>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</si>
  <si>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</si>
  <si>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</si>
  <si>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</si>
  <si>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</si>
  <si>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</si>
  <si>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</si>
  <si>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</si>
  <si>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</si>
  <si>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</si>
  <si>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</si>
  <si>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</si>
  <si>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</si>
  <si>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</si>
  <si>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</si>
  <si>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</si>
  <si>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</si>
  <si>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</si>
  <si>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</si>
  <si>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</si>
  <si>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</si>
  <si>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</si>
  <si>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</si>
  <si>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</si>
  <si>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</si>
  <si>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</si>
  <si>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</si>
  <si>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</si>
  <si>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</si>
  <si>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</si>
  <si>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</si>
  <si>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</si>
  <si>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</si>
  <si>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</si>
  <si>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</si>
  <si>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</si>
  <si>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</si>
  <si>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</si>
  <si>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</si>
  <si>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</si>
  <si>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</si>
  <si>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</si>
  <si>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</si>
  <si>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</si>
  <si>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</si>
  <si>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</si>
  <si>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</si>
  <si>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</si>
  <si>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</si>
  <si>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</si>
  <si>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</si>
  <si>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</si>
  <si>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</si>
  <si>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</si>
  <si>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</si>
  <si>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</si>
  <si>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</si>
  <si>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</si>
  <si>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</si>
  <si>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</si>
  <si>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</si>
  <si>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</si>
  <si>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</si>
  <si>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</si>
  <si>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</si>
  <si>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</si>
  <si>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</si>
  <si>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</si>
  <si>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</si>
  <si>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</si>
  <si>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</si>
  <si>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</si>
  <si>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</si>
  <si>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</si>
  <si>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</si>
  <si>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</si>
  <si>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</si>
  <si>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</si>
  <si>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</si>
  <si>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</si>
  <si>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</si>
  <si>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</si>
  <si>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</si>
  <si>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</si>
  <si>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</si>
  <si>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</si>
  <si>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</si>
  <si>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</si>
  <si>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</si>
  <si>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</si>
  <si>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</si>
  <si>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</si>
  <si>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</si>
  <si>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</si>
  <si>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</si>
  <si>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</si>
  <si>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</si>
  <si>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</si>
  <si>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</si>
  <si>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</si>
  <si>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</si>
  <si>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</si>
  <si>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</si>
  <si>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</si>
  <si>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</si>
  <si>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</si>
  <si>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</si>
  <si>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</si>
  <si>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</si>
  <si>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</si>
  <si>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</si>
  <si>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</si>
  <si>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</si>
  <si>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</si>
  <si>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</si>
  <si>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</si>
  <si>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</si>
  <si>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</si>
  <si>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</si>
  <si>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</si>
  <si>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</si>
  <si>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</si>
  <si>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</si>
  <si>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</si>
  <si>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</si>
  <si>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</si>
  <si>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</si>
  <si>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</si>
  <si>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</si>
  <si>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</si>
  <si>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</si>
  <si>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</si>
  <si>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</si>
  <si>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</si>
  <si>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</si>
  <si>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</si>
  <si>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</si>
  <si>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</si>
  <si>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</si>
  <si>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</si>
  <si>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</si>
  <si>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</si>
  <si>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</si>
  <si>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</si>
  <si>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</si>
  <si>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</si>
  <si>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</si>
  <si>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</si>
  <si>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</si>
  <si>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</si>
  <si>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</si>
  <si>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</si>
  <si>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</si>
  <si>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</si>
  <si>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</si>
  <si>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</si>
  <si>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</si>
  <si>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</si>
  <si>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</si>
  <si>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</si>
  <si>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</si>
  <si>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</si>
  <si>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</si>
  <si>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</si>
  <si>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</si>
  <si>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</si>
  <si>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</si>
  <si>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</si>
  <si>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</si>
  <si>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</si>
  <si>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</si>
  <si>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</si>
  <si>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</si>
  <si>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</si>
  <si>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</si>
  <si>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</si>
  <si>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</si>
  <si>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</si>
  <si>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</si>
  <si>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</si>
  <si>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</si>
  <si>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</si>
  <si>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</si>
  <si>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</si>
  <si>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</si>
  <si>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</si>
  <si>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</si>
  <si>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</si>
  <si>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</si>
  <si>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</si>
  <si>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</si>
  <si>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</si>
  <si>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</si>
  <si>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</si>
  <si>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</si>
  <si>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</si>
  <si>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</si>
  <si>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</si>
  <si>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</si>
  <si>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</si>
  <si>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</si>
  <si>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</si>
  <si>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</si>
  <si>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</si>
  <si>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</si>
  <si>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</si>
  <si>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</si>
  <si>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</si>
  <si>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</si>
  <si>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</si>
  <si>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</si>
  <si>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</si>
  <si>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</si>
  <si>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</si>
  <si>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</si>
  <si>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</si>
  <si>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</si>
  <si>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</si>
  <si>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</si>
  <si>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</si>
  <si>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</si>
  <si>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</si>
  <si>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</si>
  <si>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</si>
  <si>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</si>
  <si>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</si>
  <si>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</si>
  <si>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</si>
  <si>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</si>
  <si>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</si>
  <si>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</si>
  <si>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</si>
  <si>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</si>
  <si>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</si>
  <si>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</si>
  <si>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</si>
  <si>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</si>
  <si>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</si>
  <si>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</si>
  <si>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</si>
  <si>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</si>
  <si>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</si>
  <si>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</si>
  <si>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</si>
  <si>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</si>
  <si>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</si>
  <si>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</si>
  <si>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</si>
  <si>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</si>
  <si>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</si>
  <si>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</si>
  <si>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</si>
  <si>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</si>
  <si>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</si>
  <si>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</si>
  <si>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</si>
  <si>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</si>
  <si>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</si>
  <si>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</si>
  <si>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</si>
  <si>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</si>
  <si>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</si>
  <si>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</si>
  <si>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</si>
  <si>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</si>
  <si>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</si>
  <si>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</si>
  <si>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</si>
  <si>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</si>
  <si>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</si>
  <si>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</si>
  <si>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</si>
  <si>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</si>
  <si>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</si>
  <si>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</si>
  <si>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</si>
  <si>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</si>
  <si>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</si>
  <si>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</si>
  <si>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</si>
  <si>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</si>
  <si>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</si>
  <si>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</si>
  <si>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</si>
  <si>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</si>
  <si>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</si>
  <si>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</si>
  <si>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</si>
  <si>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</si>
  <si>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</si>
  <si>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</si>
  <si>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</si>
  <si>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</si>
  <si>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</si>
  <si>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</si>
  <si>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</si>
  <si>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</si>
  <si>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</si>
  <si>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</si>
  <si>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</si>
  <si>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</si>
  <si>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</si>
  <si>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</si>
  <si>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</si>
  <si>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</si>
  <si>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</si>
  <si>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</si>
  <si>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</si>
  <si>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</si>
  <si>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</si>
  <si>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</si>
  <si>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</si>
  <si>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</si>
  <si>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</si>
  <si>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</si>
  <si>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</si>
  <si>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</si>
  <si>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</si>
  <si>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</si>
  <si>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</si>
  <si>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</si>
  <si>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</si>
  <si>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</si>
  <si>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</si>
  <si>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</si>
  <si>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</si>
  <si>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</si>
  <si>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</si>
  <si>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</si>
  <si>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</si>
  <si>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</si>
  <si>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</si>
  <si>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</si>
  <si>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</si>
  <si>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</si>
  <si>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</si>
  <si>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</si>
  <si>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</si>
  <si>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</si>
  <si>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</si>
  <si>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</si>
  <si>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</si>
  <si>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</si>
  <si>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</si>
  <si>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</si>
  <si>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</si>
  <si>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</si>
  <si>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</si>
  <si>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</si>
  <si>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</si>
  <si>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</si>
  <si>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</si>
  <si>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</si>
  <si>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</si>
  <si>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</si>
  <si>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</si>
  <si>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</si>
  <si>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</si>
  <si>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</si>
  <si>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</si>
  <si>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</si>
  <si>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</si>
  <si>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</si>
  <si>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</si>
  <si>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</si>
  <si>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</si>
  <si>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</si>
  <si>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</si>
  <si>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</si>
  <si>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</si>
  <si>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</si>
  <si>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</si>
  <si>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</si>
  <si>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</si>
  <si>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</si>
  <si>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</si>
  <si>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</si>
  <si>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</si>
  <si>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</si>
  <si>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</si>
  <si>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</si>
  <si>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</si>
  <si>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</si>
  <si>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</si>
  <si>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</si>
  <si>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</si>
  <si>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</si>
  <si>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</si>
  <si>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</si>
  <si>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</si>
  <si>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</si>
  <si>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</si>
  <si>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</si>
  <si>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</si>
  <si>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</si>
  <si>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</si>
  <si>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</si>
  <si>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</si>
  <si>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</si>
  <si>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</si>
  <si>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</si>
  <si>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</si>
  <si>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</si>
  <si>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</si>
  <si>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</si>
  <si>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</si>
  <si>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</si>
  <si>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</si>
  <si>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</si>
  <si>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</si>
  <si>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</si>
  <si>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</si>
  <si>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</si>
  <si>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</si>
  <si>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</si>
  <si>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</si>
  <si>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</si>
  <si>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</si>
  <si>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</si>
  <si>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</si>
  <si>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</si>
  <si>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</si>
  <si>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</si>
  <si>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</si>
  <si>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</si>
  <si>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</si>
  <si>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</si>
  <si>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</si>
  <si>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</si>
  <si>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</si>
  <si>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</si>
  <si>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</si>
  <si>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</si>
  <si>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</si>
  <si>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</si>
  <si>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</si>
  <si>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</si>
  <si>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</si>
  <si>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</si>
  <si>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</si>
  <si>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</si>
  <si>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</si>
  <si>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</si>
  <si>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</si>
  <si>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</si>
  <si>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</si>
  <si>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</si>
  <si>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</si>
  <si>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</si>
  <si>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</si>
  <si>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</si>
  <si>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</si>
  <si>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</si>
  <si>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</si>
  <si>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</si>
  <si>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</si>
  <si>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</si>
  <si>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</si>
  <si>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</si>
  <si>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</si>
  <si>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</si>
  <si>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</si>
  <si>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</si>
  <si>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</si>
  <si>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</si>
  <si>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</si>
  <si>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</si>
  <si>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</si>
  <si>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</si>
  <si>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</si>
  <si>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</si>
  <si>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</si>
  <si>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</si>
  <si>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</si>
  <si>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</si>
  <si>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</si>
  <si>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</si>
  <si>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</si>
  <si>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</si>
  <si>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</si>
  <si>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</si>
  <si>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</si>
  <si>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</si>
  <si>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</si>
  <si>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</si>
  <si>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</si>
  <si>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</si>
  <si>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</si>
  <si>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</si>
  <si>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</si>
  <si>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</si>
  <si>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</si>
  <si>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</si>
  <si>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</si>
  <si>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</si>
  <si>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</si>
  <si>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</si>
  <si>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</si>
  <si>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</si>
  <si>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</si>
  <si>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</si>
  <si>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</si>
  <si>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</si>
  <si>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</si>
  <si>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</si>
  <si>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</si>
  <si>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</si>
  <si>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</si>
  <si>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</si>
  <si>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</si>
  <si>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</si>
  <si>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</si>
  <si>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</si>
  <si>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</si>
  <si>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</si>
  <si>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</si>
  <si>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</si>
  <si>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</si>
  <si>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</si>
  <si>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</si>
  <si>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</si>
  <si>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</si>
  <si>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</si>
  <si>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</si>
  <si>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</si>
  <si>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</si>
  <si>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</si>
  <si>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</si>
  <si>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</si>
  <si>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</si>
  <si>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</si>
  <si>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</si>
  <si>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</si>
  <si>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</si>
  <si>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</si>
  <si>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</si>
  <si>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</si>
  <si>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</si>
  <si>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</si>
  <si>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</si>
  <si>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</si>
  <si>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</si>
  <si>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</si>
  <si>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</si>
  <si>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</si>
  <si>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</si>
  <si>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</si>
  <si>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</si>
  <si>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</si>
  <si>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</si>
  <si>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</si>
  <si>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</si>
  <si>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</si>
  <si>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</si>
  <si>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</si>
  <si>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</si>
  <si>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</si>
  <si>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</si>
  <si>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</si>
  <si>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</si>
  <si>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</si>
  <si>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</si>
  <si>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</si>
  <si>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</si>
  <si>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</si>
  <si>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</si>
  <si>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</si>
  <si>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</si>
  <si>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</si>
  <si>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</si>
  <si>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</si>
  <si>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</si>
  <si>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</si>
  <si>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</si>
  <si>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</si>
  <si>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</si>
  <si>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</si>
  <si>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</si>
  <si>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</si>
  <si>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</si>
  <si>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</si>
  <si>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</si>
  <si>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</si>
  <si>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</si>
  <si>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</si>
  <si>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</si>
  <si>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</si>
  <si>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</si>
  <si>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</si>
  <si>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</si>
  <si>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</si>
  <si>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</si>
  <si>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</si>
  <si>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</si>
  <si>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</si>
  <si>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</si>
  <si>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</si>
  <si>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</si>
  <si>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</si>
  <si>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</si>
  <si>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</si>
  <si>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</si>
  <si>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</si>
  <si>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</si>
  <si>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</si>
  <si>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</si>
  <si>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</si>
  <si>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</si>
  <si>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</si>
  <si>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</si>
  <si>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</si>
  <si>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</si>
  <si>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</si>
  <si>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</si>
  <si>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</si>
  <si>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</si>
  <si>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</si>
  <si>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</si>
  <si>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</si>
  <si>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</si>
  <si>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</si>
  <si>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</si>
  <si>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</si>
  <si>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</si>
  <si>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</si>
  <si>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</si>
  <si>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</si>
  <si>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</si>
  <si>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</si>
  <si>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</si>
  <si>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</si>
  <si>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</si>
  <si>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</si>
  <si>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</si>
  <si>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</si>
  <si>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</si>
  <si>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</si>
  <si>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</si>
  <si>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</si>
  <si>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</si>
  <si>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</si>
  <si>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</si>
  <si>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</si>
  <si>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</si>
  <si>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</si>
  <si>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</si>
  <si>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</si>
  <si>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</si>
  <si>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</si>
  <si>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</si>
  <si>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</si>
  <si>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</si>
  <si>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</si>
  <si>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</si>
  <si>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</si>
  <si>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</si>
  <si>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</si>
  <si>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</si>
  <si>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</si>
  <si>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</si>
  <si>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</si>
  <si>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</si>
  <si>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</si>
  <si>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</si>
  <si>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</si>
  <si>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</si>
  <si>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</si>
  <si>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</si>
  <si>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</si>
  <si>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</si>
  <si>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</si>
  <si>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</si>
  <si>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</si>
  <si>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</si>
  <si>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</si>
  <si>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</si>
  <si>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</si>
  <si>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</si>
  <si>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</si>
  <si>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</si>
  <si>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</si>
  <si>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</si>
  <si>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</si>
  <si>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</si>
  <si>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</si>
  <si>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</si>
  <si>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</si>
  <si>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</si>
  <si>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</si>
  <si>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</si>
  <si>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</si>
  <si>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</si>
  <si>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</si>
  <si>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</si>
  <si>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</si>
  <si>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</si>
  <si>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</si>
  <si>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</si>
  <si>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</si>
  <si>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</si>
  <si>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</si>
  <si>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</si>
  <si>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</si>
  <si>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</si>
  <si>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</si>
  <si>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</si>
  <si>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</si>
  <si>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</si>
  <si>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</si>
  <si>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</si>
  <si>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</si>
  <si>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</si>
  <si>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</si>
  <si>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</si>
  <si>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</si>
  <si>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</si>
  <si>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</si>
  <si>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</si>
  <si>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</si>
  <si>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</si>
  <si>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</si>
  <si>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</si>
  <si>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</si>
  <si>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</si>
  <si>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</si>
  <si>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</si>
  <si>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</si>
  <si>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</si>
  <si>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</si>
  <si>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</si>
  <si>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</si>
  <si>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</si>
  <si>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</si>
  <si>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</si>
  <si>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</si>
  <si>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</si>
  <si>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</si>
  <si>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</si>
  <si>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</si>
  <si>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</si>
  <si>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</si>
  <si>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</si>
  <si>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</si>
  <si>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</si>
  <si>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</si>
  <si>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</si>
  <si>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</si>
  <si>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</si>
  <si>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</si>
  <si>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</si>
  <si>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</si>
  <si>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</si>
  <si>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</si>
  <si>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</si>
  <si>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</si>
  <si>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</si>
  <si>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</si>
  <si>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</si>
  <si>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</si>
  <si>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</si>
  <si>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</si>
  <si>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</si>
  <si>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</si>
  <si>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</si>
  <si>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</si>
  <si>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</si>
  <si>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</si>
  <si>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</si>
  <si>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</si>
  <si>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</si>
  <si>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</si>
  <si>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</si>
  <si>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</si>
  <si>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</si>
  <si>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</si>
  <si>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</si>
  <si>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</si>
  <si>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</si>
  <si>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</si>
  <si>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</si>
  <si>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</si>
  <si>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</si>
  <si>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</si>
  <si>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</si>
  <si>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</si>
  <si>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</si>
  <si>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</si>
  <si>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</si>
  <si>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</si>
  <si>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</si>
  <si>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</si>
  <si>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</si>
  <si>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</si>
  <si>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</si>
  <si>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</si>
  <si>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</si>
  <si>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</si>
  <si>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</si>
  <si>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</si>
  <si>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</si>
  <si>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</si>
  <si>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</si>
  <si>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</si>
  <si>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</si>
  <si>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</si>
  <si>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</si>
  <si>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</si>
  <si>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</si>
  <si>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</si>
  <si>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</si>
  <si>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</si>
  <si>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</si>
  <si>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</si>
  <si>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</si>
  <si>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</si>
  <si>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</si>
  <si>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</si>
  <si>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</si>
  <si>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</si>
  <si>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</si>
  <si>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</si>
  <si>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</si>
  <si>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</si>
  <si>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</si>
  <si>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</si>
  <si>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</si>
  <si>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</si>
  <si>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</si>
  <si>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</si>
  <si>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</si>
  <si>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</si>
  <si>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</si>
  <si>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</si>
  <si>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</si>
  <si>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</si>
  <si>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</si>
  <si>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</si>
  <si>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</si>
  <si>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</si>
  <si>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</si>
  <si>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</si>
  <si>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</si>
  <si>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</si>
  <si>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</si>
  <si>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</si>
  <si>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</si>
  <si>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</si>
  <si>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</si>
  <si>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</si>
  <si>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</si>
  <si>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</si>
  <si>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</si>
  <si>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</si>
  <si>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</si>
  <si>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</si>
  <si>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</si>
  <si>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</si>
  <si>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</si>
  <si>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</si>
  <si>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</si>
  <si>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</si>
  <si>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</si>
  <si>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</si>
  <si>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</si>
  <si>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</si>
  <si>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</si>
  <si>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</si>
  <si>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</si>
  <si>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</si>
  <si>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</si>
  <si>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</si>
  <si>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</si>
  <si>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</si>
  <si>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</si>
  <si>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</si>
  <si>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</si>
  <si>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</si>
  <si>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</si>
  <si>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</si>
  <si>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</si>
  <si>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</si>
  <si>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</si>
  <si>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</si>
  <si>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</si>
  <si>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</si>
  <si>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</si>
  <si>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</si>
  <si>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</si>
  <si>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</si>
  <si>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</si>
  <si>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</si>
  <si>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</si>
  <si>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</si>
  <si>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</si>
  <si>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</si>
  <si>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</si>
  <si>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</si>
  <si>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</si>
  <si>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</si>
  <si>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</si>
  <si>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</si>
  <si>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</si>
  <si>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</si>
  <si>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</si>
  <si>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</si>
  <si>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</si>
  <si>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</si>
  <si>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</si>
  <si>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</si>
  <si>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</si>
  <si>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</si>
  <si>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</si>
  <si>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</si>
  <si>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</si>
  <si>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</si>
  <si>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</si>
  <si>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</si>
  <si>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</si>
  <si>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</si>
  <si>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</si>
  <si>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</si>
  <si>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</si>
  <si>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</si>
  <si>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</si>
  <si>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</si>
  <si>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</si>
  <si>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</si>
  <si>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</si>
  <si>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</si>
  <si>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</si>
  <si>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</si>
  <si>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</si>
  <si>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</si>
  <si>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</si>
  <si>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</si>
  <si>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</si>
  <si>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</si>
  <si>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</si>
  <si>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</si>
  <si>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</si>
  <si>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</si>
  <si>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</si>
  <si>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</si>
  <si>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</si>
  <si>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</si>
  <si>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</si>
  <si>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</si>
  <si>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</si>
  <si>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</si>
  <si>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</si>
  <si>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</si>
  <si>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</si>
  <si>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</si>
  <si>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</si>
  <si>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</si>
  <si>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</si>
  <si>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</si>
  <si>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</si>
  <si>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</si>
  <si>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</si>
  <si>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</si>
  <si>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</si>
  <si>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</si>
  <si>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</si>
  <si>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</si>
  <si>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</si>
  <si>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</si>
  <si>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</si>
  <si>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</si>
  <si>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</si>
  <si>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</si>
  <si>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</si>
  <si>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</si>
  <si>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</si>
  <si>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</si>
  <si>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</si>
  <si>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</si>
  <si>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</si>
  <si>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</si>
  <si>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</si>
  <si>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</si>
  <si>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</si>
  <si>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</si>
  <si>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</si>
  <si>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</si>
  <si>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</si>
  <si>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</si>
  <si>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</si>
  <si>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</si>
  <si>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</si>
  <si>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</si>
  <si>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</si>
  <si>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</si>
  <si>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</si>
  <si>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</si>
  <si>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</si>
  <si>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</si>
  <si>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</si>
  <si>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</si>
  <si>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</si>
  <si>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</si>
  <si>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</si>
  <si>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</si>
  <si>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</si>
  <si>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</si>
  <si>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</si>
  <si>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</si>
  <si>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</si>
  <si>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</si>
  <si>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</si>
  <si>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</si>
  <si>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</si>
  <si>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</si>
  <si>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</si>
  <si>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</si>
  <si>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</si>
  <si>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</si>
  <si>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</si>
  <si>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</si>
  <si>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</si>
  <si>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</si>
  <si>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</si>
  <si>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</si>
  <si>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</si>
  <si>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</si>
  <si>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</si>
  <si>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</si>
  <si>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</si>
  <si>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</si>
  <si>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</si>
  <si>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</si>
  <si>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</si>
  <si>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</si>
  <si>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</si>
  <si>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</si>
  <si>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</si>
  <si>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</si>
  <si>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</si>
  <si>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</si>
  <si>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</si>
  <si>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</si>
  <si>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</si>
  <si>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</si>
  <si>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</si>
  <si>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</si>
  <si>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</si>
  <si>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</si>
  <si>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</si>
  <si>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</si>
  <si>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</si>
  <si>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</si>
  <si>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</si>
  <si>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</si>
  <si>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</si>
  <si>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</si>
  <si>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</si>
  <si>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</si>
  <si>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</si>
  <si>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</si>
  <si>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</si>
  <si>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</si>
  <si>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</si>
  <si>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</si>
  <si>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</si>
  <si>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</si>
  <si>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</si>
  <si>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</si>
  <si>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</si>
  <si>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</si>
  <si>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</si>
  <si>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</si>
  <si>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</si>
  <si>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</si>
  <si>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</si>
  <si>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</si>
  <si>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</si>
  <si>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</si>
  <si>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</si>
  <si>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</si>
  <si>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</si>
  <si>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</si>
  <si>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</si>
  <si>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</si>
  <si>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</si>
  <si>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</si>
  <si>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</si>
  <si>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</si>
  <si>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</si>
  <si>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</si>
  <si>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</si>
  <si>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</si>
  <si>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</si>
  <si>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</si>
  <si>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</si>
  <si>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</si>
  <si>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</si>
  <si>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</si>
  <si>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</si>
  <si>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</si>
  <si>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</si>
  <si>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</si>
  <si>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</si>
  <si>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</si>
  <si>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</si>
  <si>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</si>
  <si>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</si>
  <si>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</si>
  <si>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</si>
  <si>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</si>
  <si>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</si>
  <si>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</si>
  <si>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</si>
  <si>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</si>
  <si>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</si>
  <si>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</si>
  <si>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</si>
  <si>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</si>
  <si>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</si>
  <si>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</si>
  <si>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</si>
  <si>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</si>
  <si>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</si>
  <si>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</si>
  <si>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</si>
  <si>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</si>
  <si>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</si>
  <si>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</si>
  <si>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</si>
  <si>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</si>
  <si>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</si>
  <si>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</si>
  <si>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</si>
  <si>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</si>
  <si>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</si>
  <si>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</si>
  <si>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</si>
  <si>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</si>
  <si>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</si>
  <si>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</si>
  <si>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</si>
  <si>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</si>
  <si>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</si>
  <si>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</si>
  <si>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</si>
  <si>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</si>
  <si>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</si>
  <si>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</si>
  <si>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</si>
  <si>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</si>
  <si>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</si>
  <si>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</si>
  <si>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</si>
  <si>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</si>
  <si>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</si>
  <si>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</si>
  <si>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</si>
  <si>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</si>
  <si>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</si>
  <si>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</si>
  <si>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</si>
  <si>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</si>
  <si>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</si>
  <si>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</si>
  <si>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</si>
  <si>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</si>
  <si>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</si>
  <si>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</si>
  <si>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</si>
  <si>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</si>
  <si>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</si>
  <si>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</si>
  <si>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</si>
  <si>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</si>
  <si>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</si>
  <si>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</si>
  <si>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</si>
  <si>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</si>
  <si>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</si>
  <si>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</si>
  <si>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</si>
  <si>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</si>
  <si>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</si>
  <si>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</si>
  <si>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</si>
  <si>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</si>
  <si>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</si>
  <si>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</si>
  <si>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</si>
  <si>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</si>
  <si>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</si>
  <si>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</si>
  <si>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</si>
  <si>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</si>
  <si>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</si>
  <si>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</si>
  <si>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</si>
  <si>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</si>
  <si>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</si>
  <si>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</si>
  <si>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</si>
  <si>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</si>
  <si>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</si>
  <si>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</si>
  <si>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</si>
  <si>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</si>
  <si>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</si>
  <si>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</si>
  <si>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</si>
  <si>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</si>
  <si>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</si>
  <si>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</si>
  <si>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</si>
  <si>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</si>
  <si>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</si>
  <si>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</si>
  <si>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</si>
  <si>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</si>
  <si>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</si>
  <si>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</si>
  <si>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</si>
  <si>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</si>
  <si>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</si>
  <si>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</si>
  <si>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</si>
  <si>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</si>
  <si>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</si>
  <si>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</si>
  <si>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</si>
  <si>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</si>
  <si>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</si>
  <si>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</si>
  <si>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</si>
  <si>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</si>
  <si>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</si>
  <si>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</si>
  <si>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</si>
  <si>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</si>
  <si>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</si>
  <si>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</si>
  <si>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</si>
  <si>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</si>
  <si>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</si>
  <si>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</si>
  <si>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</si>
  <si>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</si>
  <si>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</si>
  <si>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</si>
  <si>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</si>
  <si>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</si>
  <si>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</si>
  <si>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</si>
  <si>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</si>
  <si>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</si>
  <si>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</si>
  <si>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</si>
  <si>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</si>
  <si>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</si>
  <si>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</si>
  <si>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</si>
  <si>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</si>
  <si>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</si>
  <si>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</si>
  <si>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</si>
  <si>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</si>
  <si>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</si>
  <si>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</si>
  <si>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</si>
  <si>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</si>
  <si>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</si>
  <si>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</si>
  <si>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</si>
  <si>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</si>
  <si>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</si>
  <si>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</si>
  <si>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</si>
  <si>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</si>
  <si>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</si>
  <si>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</si>
  <si>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</si>
  <si>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</si>
  <si>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</si>
  <si>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</si>
  <si>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</si>
  <si>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</si>
  <si>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</si>
  <si>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</si>
  <si>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</si>
  <si>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</si>
  <si>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</si>
  <si>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</si>
  <si>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</si>
  <si>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</si>
  <si>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</si>
  <si>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</si>
  <si>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</si>
  <si>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</si>
  <si>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</si>
  <si>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</si>
  <si>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</si>
  <si>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</si>
  <si>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</si>
  <si>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</si>
  <si>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</si>
  <si>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</si>
  <si>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</si>
  <si>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</si>
  <si>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</si>
  <si>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</si>
  <si>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</si>
  <si>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</si>
  <si>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</si>
  <si>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</si>
  <si>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</si>
  <si>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</si>
  <si>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</si>
  <si>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</si>
  <si>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</si>
  <si>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</si>
  <si>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</si>
  <si>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</si>
  <si>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</si>
  <si>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</si>
  <si>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</si>
  <si>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</si>
  <si>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</si>
  <si>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</si>
  <si>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</si>
  <si>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</si>
  <si>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</si>
  <si>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</si>
  <si>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</si>
  <si>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</si>
  <si>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</si>
  <si>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</si>
  <si>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</si>
  <si>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</si>
  <si>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</si>
  <si>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</si>
  <si>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</si>
  <si>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</si>
  <si>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</si>
  <si>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</si>
  <si>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</si>
  <si>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</si>
  <si>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</si>
  <si>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</si>
  <si>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</si>
  <si>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</si>
  <si>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</si>
  <si>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</si>
  <si>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</si>
  <si>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</si>
  <si>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</si>
  <si>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</si>
  <si>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</si>
  <si>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</si>
  <si>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</si>
  <si>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</si>
  <si>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</si>
  <si>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</si>
  <si>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</si>
  <si>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</si>
  <si>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</si>
  <si>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</si>
  <si>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</si>
  <si>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</si>
  <si>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</si>
  <si>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</si>
  <si>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</si>
  <si>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</si>
  <si>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</si>
  <si>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</si>
  <si>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</si>
  <si>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</si>
  <si>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</si>
  <si>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</si>
  <si>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</si>
  <si>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</si>
  <si>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</si>
  <si>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</si>
  <si>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</si>
  <si>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</si>
  <si>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</si>
  <si>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</si>
  <si>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</si>
  <si>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</si>
  <si>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</si>
  <si>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</si>
  <si>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</si>
  <si>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</si>
  <si>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</si>
  <si>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</si>
  <si>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</si>
  <si>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</si>
  <si>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</si>
  <si>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</si>
  <si>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</si>
  <si>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</si>
  <si>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</si>
  <si>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</si>
  <si>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</si>
  <si>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</si>
  <si>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</si>
  <si>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</si>
  <si>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</si>
  <si>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</si>
  <si>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</si>
  <si>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</si>
  <si>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</si>
  <si>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</si>
  <si>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</si>
  <si>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</si>
  <si>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</si>
  <si>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</si>
  <si>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</si>
  <si>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</si>
  <si>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</si>
  <si>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</si>
  <si>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</si>
  <si>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</si>
  <si>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</si>
  <si>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</si>
  <si>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</si>
  <si>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</si>
  <si>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</si>
  <si>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</si>
  <si>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</si>
  <si>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</si>
  <si>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</si>
  <si>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</si>
  <si>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</si>
  <si>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</si>
  <si>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</si>
  <si>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</si>
  <si>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</si>
  <si>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</si>
  <si>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</si>
  <si>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</si>
  <si>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</si>
  <si>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</si>
  <si>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</si>
  <si>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</si>
  <si>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</si>
  <si>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</si>
  <si>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</si>
  <si>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</si>
  <si>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</si>
  <si>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</si>
  <si>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</si>
  <si>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</si>
  <si>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</si>
  <si>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</si>
  <si>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</si>
  <si>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</si>
  <si>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</si>
  <si>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</si>
  <si>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</si>
  <si>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</si>
  <si>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</si>
  <si>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</si>
  <si>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</si>
  <si>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</si>
  <si>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</si>
  <si>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</si>
  <si>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</si>
  <si>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</si>
  <si>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</si>
  <si>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</si>
  <si>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</si>
  <si>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</si>
  <si>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</si>
  <si>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</si>
  <si>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</si>
  <si>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</si>
  <si>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</si>
  <si>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</si>
  <si>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</si>
  <si>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</si>
  <si>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</si>
  <si>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</si>
  <si>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</si>
  <si>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</si>
  <si>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</si>
  <si>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</si>
  <si>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</si>
  <si>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</si>
  <si>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</si>
  <si>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</si>
  <si>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</si>
  <si>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</si>
  <si>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</si>
  <si>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</si>
  <si>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</si>
  <si>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</si>
  <si>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</si>
  <si>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</si>
  <si>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</si>
  <si>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</si>
  <si>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</si>
  <si>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</si>
  <si>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</si>
  <si>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</si>
  <si>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</si>
  <si>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</si>
  <si>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</si>
  <si>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</si>
  <si>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</si>
  <si>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</si>
  <si>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</si>
  <si>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</si>
  <si>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</si>
  <si>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</si>
  <si>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</si>
  <si>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</si>
  <si>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</si>
  <si>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</si>
  <si>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</si>
  <si>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</si>
  <si>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</si>
  <si>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</si>
  <si>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</si>
  <si>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</si>
  <si>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</si>
  <si>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</si>
  <si>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</si>
  <si>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</si>
  <si>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</si>
  <si>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</si>
  <si>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</si>
  <si>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</si>
  <si>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</si>
  <si>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</si>
  <si>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</si>
  <si>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</si>
  <si>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</si>
  <si>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</si>
  <si>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</si>
  <si>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</si>
  <si>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</si>
  <si>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</si>
  <si>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</si>
  <si>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</si>
  <si>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</si>
  <si>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</si>
  <si>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</si>
  <si>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</si>
  <si>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</si>
  <si>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</si>
  <si>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</si>
  <si>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</si>
  <si>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</si>
  <si>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</si>
  <si>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</si>
  <si>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</si>
  <si>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</si>
  <si>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</si>
  <si>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</si>
  <si>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</si>
  <si>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</si>
  <si>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</si>
  <si>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</si>
  <si>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</si>
  <si>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</si>
  <si>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</si>
  <si>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</si>
  <si>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</si>
  <si>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</si>
  <si>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</si>
  <si>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</si>
  <si>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</si>
  <si>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</si>
  <si>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</si>
  <si>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</si>
  <si>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</si>
  <si>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</si>
  <si>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</si>
  <si>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</si>
  <si>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</si>
  <si>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</si>
  <si>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</si>
  <si>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</si>
  <si>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</si>
  <si>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</si>
  <si>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</si>
  <si>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</si>
  <si>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</si>
  <si>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</si>
  <si>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</si>
  <si>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</si>
  <si>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</si>
  <si>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</si>
  <si>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</si>
  <si>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</si>
  <si>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</si>
  <si>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</si>
  <si>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</si>
  <si>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</si>
  <si>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</si>
  <si>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</si>
  <si>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</si>
  <si>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</si>
  <si>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</si>
  <si>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</si>
  <si>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</si>
  <si>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</si>
  <si>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</si>
  <si>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</si>
  <si>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</si>
  <si>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</si>
  <si>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</si>
  <si>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</si>
  <si>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</si>
  <si>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</si>
  <si>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</si>
  <si>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</si>
  <si>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</si>
  <si>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</si>
  <si>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</si>
  <si>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</si>
  <si>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</si>
  <si>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</si>
  <si>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</si>
  <si>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</si>
  <si>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</si>
  <si>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</si>
  <si>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</si>
  <si>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</si>
  <si>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</si>
  <si>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</si>
  <si>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</si>
  <si>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</si>
  <si>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</si>
  <si>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</si>
  <si>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</si>
  <si>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</si>
  <si>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</si>
  <si>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</si>
  <si>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</si>
  <si>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</si>
  <si>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</si>
  <si>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</si>
  <si>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</si>
  <si>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</si>
  <si>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</si>
  <si>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</si>
  <si>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</si>
  <si>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</si>
  <si>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</si>
  <si>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</si>
  <si>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</si>
  <si>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</si>
  <si>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</si>
  <si>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</si>
  <si>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</si>
  <si>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</si>
  <si>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</si>
  <si>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</si>
  <si>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</si>
  <si>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</si>
  <si>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</si>
  <si>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</si>
  <si>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</si>
  <si>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</si>
  <si>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</si>
  <si>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</si>
  <si>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</si>
  <si>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</si>
  <si>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</si>
  <si>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</si>
  <si>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</si>
  <si>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</si>
  <si>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</si>
  <si>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</si>
  <si>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</si>
  <si>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</si>
  <si>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</si>
  <si>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</si>
  <si>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</si>
  <si>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</si>
  <si>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</si>
  <si>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</si>
  <si>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</si>
  <si>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</si>
  <si>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</si>
  <si>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</si>
  <si>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</si>
  <si>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</si>
  <si>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</si>
  <si>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</si>
  <si>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</si>
  <si>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</si>
  <si>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</si>
  <si>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</si>
  <si>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</si>
  <si>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</si>
  <si>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</si>
  <si>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</si>
  <si>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</si>
  <si>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</si>
  <si>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</si>
  <si>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</si>
  <si>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</si>
  <si>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</si>
  <si>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</si>
  <si>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</si>
  <si>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</si>
  <si>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</si>
  <si>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</si>
  <si>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</si>
  <si>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</si>
  <si>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</si>
  <si>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</si>
  <si>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</si>
  <si>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</si>
  <si>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</si>
  <si>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</si>
  <si>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</si>
  <si>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</si>
  <si>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</si>
  <si>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</si>
  <si>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</si>
  <si>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</si>
  <si>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</si>
  <si>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</si>
  <si>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</si>
  <si>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</si>
  <si>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</si>
  <si>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</si>
  <si>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</si>
  <si>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</si>
  <si>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</si>
  <si>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</si>
  <si>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</si>
  <si>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</si>
  <si>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</si>
  <si>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</si>
  <si>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</si>
  <si>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</si>
  <si>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</si>
  <si>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</si>
  <si>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</si>
  <si>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</si>
  <si>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</si>
  <si>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</si>
  <si>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</si>
  <si>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</si>
  <si>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</si>
  <si>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</si>
  <si>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</si>
  <si>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</si>
  <si>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</si>
  <si>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</si>
  <si>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</si>
  <si>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</si>
  <si>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</si>
  <si>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</si>
  <si>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</si>
  <si>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</si>
  <si>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</si>
  <si>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</si>
  <si>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</si>
  <si>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</si>
  <si>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</si>
  <si>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</si>
  <si>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</si>
  <si>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</si>
  <si>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</si>
  <si>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</si>
  <si>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</si>
  <si>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</si>
  <si>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</si>
  <si>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</si>
  <si>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</si>
  <si>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</si>
  <si>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</si>
  <si>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</si>
  <si>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</si>
  <si>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</si>
  <si>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</si>
  <si>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</si>
  <si>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</si>
  <si>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</si>
  <si>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</si>
  <si>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</si>
  <si>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</si>
  <si>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</si>
  <si>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</si>
  <si>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</si>
  <si>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</si>
  <si>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</si>
  <si>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</si>
  <si>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</si>
  <si>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</si>
  <si>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</si>
  <si>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</si>
  <si>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</si>
  <si>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</si>
  <si>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</si>
  <si>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</si>
  <si>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</si>
  <si>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</si>
  <si>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</si>
  <si>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</si>
  <si>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</si>
  <si>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</si>
  <si>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</si>
  <si>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</si>
  <si>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</si>
  <si>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</si>
  <si>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</si>
  <si>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</si>
  <si>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</si>
  <si>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</si>
  <si>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</si>
  <si>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</si>
  <si>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</si>
  <si>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</si>
  <si>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</si>
  <si>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</si>
  <si>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</si>
  <si>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</si>
  <si>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</si>
  <si>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</si>
  <si>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</si>
  <si>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</si>
  <si>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</si>
  <si>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</si>
  <si>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</si>
  <si>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</si>
  <si>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</si>
  <si>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</si>
  <si>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</si>
  <si>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</si>
  <si>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</si>
  <si>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</si>
  <si>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</si>
  <si>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</si>
  <si>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</si>
  <si>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</si>
  <si>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</si>
  <si>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</si>
  <si>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</si>
  <si>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</si>
  <si>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</si>
  <si>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</si>
  <si>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</si>
  <si>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</si>
  <si>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</si>
  <si>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</si>
  <si>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</si>
  <si>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</si>
  <si>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</si>
  <si>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</si>
  <si>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</si>
  <si>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</si>
  <si>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</si>
  <si>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</si>
  <si>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</si>
  <si>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</si>
  <si>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</si>
  <si>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</si>
  <si>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</si>
  <si>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</si>
  <si>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</si>
  <si>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</si>
  <si>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</si>
  <si>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</si>
  <si>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</si>
  <si>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</si>
  <si>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</si>
  <si>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</si>
  <si>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</si>
  <si>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</si>
  <si>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</si>
  <si>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</si>
  <si>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</si>
  <si>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</si>
  <si>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</si>
  <si>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</si>
  <si>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</si>
  <si>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</si>
  <si>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</si>
  <si>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</si>
  <si>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</si>
  <si>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</si>
  <si>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</si>
  <si>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</si>
  <si>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</si>
  <si>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</si>
  <si>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</si>
  <si>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</si>
  <si>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</si>
  <si>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</si>
  <si>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</si>
  <si>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</si>
  <si>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</si>
  <si>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</si>
  <si>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</si>
  <si>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</si>
  <si>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</si>
  <si>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</si>
  <si>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</si>
  <si>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</si>
  <si>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</si>
  <si>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</si>
  <si>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</si>
  <si>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</si>
  <si>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</si>
  <si>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</si>
  <si>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</si>
  <si>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</si>
  <si>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</si>
  <si>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</si>
  <si>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</si>
  <si>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</si>
  <si>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</si>
  <si>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</si>
  <si>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</si>
  <si>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</si>
  <si>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</si>
  <si>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</si>
  <si>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</si>
  <si>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</si>
  <si>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</si>
  <si>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</si>
  <si>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</si>
  <si>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</si>
  <si>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</si>
  <si>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</si>
  <si>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</si>
  <si>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</si>
  <si>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</si>
  <si>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</si>
  <si>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</si>
  <si>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</si>
  <si>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</si>
  <si>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</si>
  <si>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</si>
  <si>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</si>
  <si>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</si>
  <si>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</si>
  <si>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</si>
  <si>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</si>
  <si>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</si>
  <si>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</si>
  <si>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</si>
  <si>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</si>
  <si>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</si>
  <si>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</si>
  <si>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</si>
  <si>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</si>
  <si>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</si>
  <si>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</si>
  <si>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</si>
  <si>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</si>
  <si>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</si>
  <si>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</si>
  <si>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</si>
  <si>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</si>
  <si>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</si>
  <si>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</si>
  <si>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</si>
  <si>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</si>
  <si>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</si>
  <si>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</si>
  <si>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</si>
  <si>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</si>
  <si>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</si>
  <si>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</si>
  <si>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</si>
  <si>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</si>
  <si>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</si>
  <si>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</si>
  <si>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</si>
  <si>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</si>
  <si>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</si>
  <si>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</si>
  <si>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</si>
  <si>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</si>
  <si>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</si>
  <si>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</si>
  <si>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</si>
  <si>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</si>
  <si>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</si>
  <si>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</si>
  <si>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</si>
  <si>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</si>
  <si>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</si>
  <si>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</si>
  <si>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</si>
  <si>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</si>
  <si>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</si>
  <si>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</si>
  <si>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</si>
  <si>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</si>
  <si>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</si>
  <si>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</si>
  <si>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</si>
  <si>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</si>
  <si>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</si>
  <si>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</si>
  <si>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</si>
  <si>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</si>
  <si>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</si>
  <si>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</si>
  <si>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</si>
  <si>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</si>
  <si>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</si>
  <si>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</si>
  <si>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</si>
  <si>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</si>
  <si>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</si>
  <si>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</si>
  <si>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</si>
  <si>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</si>
  <si>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</si>
  <si>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</si>
  <si>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</si>
  <si>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</si>
  <si>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</si>
  <si>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</si>
  <si>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</si>
  <si>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</si>
  <si>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</si>
  <si>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</si>
  <si>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</si>
  <si>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</si>
  <si>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</si>
  <si>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</si>
  <si>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</si>
  <si>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</si>
  <si>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</si>
  <si>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</si>
  <si>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</si>
  <si>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</si>
  <si>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</si>
  <si>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</si>
  <si>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</si>
  <si>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</si>
  <si>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</si>
  <si>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</si>
  <si>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</si>
  <si>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</si>
  <si>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</si>
  <si>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</si>
  <si>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</si>
  <si>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</si>
  <si>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</si>
  <si>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</si>
  <si>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</si>
  <si>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</si>
  <si>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</si>
  <si>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</si>
  <si>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</si>
  <si>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</si>
  <si>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</si>
  <si>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</si>
  <si>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</si>
  <si>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</si>
  <si>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</si>
  <si>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</si>
  <si>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</si>
  <si>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</si>
  <si>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</si>
  <si>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</si>
  <si>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</si>
  <si>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</si>
  <si>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</si>
  <si>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</si>
  <si>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</si>
  <si>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</si>
  <si>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</si>
  <si>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</si>
  <si>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</si>
  <si>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</si>
  <si>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</si>
  <si>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</si>
  <si>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</si>
  <si>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</si>
  <si>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</si>
  <si>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</si>
  <si>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</si>
  <si>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</si>
  <si>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</si>
  <si>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</si>
  <si>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</si>
  <si>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</si>
  <si>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</si>
  <si>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</si>
  <si>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</si>
  <si>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</si>
  <si>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</si>
  <si>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</si>
  <si>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</si>
  <si>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</si>
  <si>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</si>
  <si>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</si>
  <si>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</si>
  <si>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</si>
  <si>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</si>
  <si>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</si>
  <si>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</si>
  <si>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</si>
  <si>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</si>
  <si>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</si>
  <si>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</si>
  <si>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</si>
  <si>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</si>
  <si>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</si>
  <si>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</si>
  <si>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</si>
  <si>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</si>
  <si>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</si>
  <si>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</si>
  <si>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</si>
  <si>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</si>
  <si>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</si>
  <si>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</si>
  <si>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</si>
  <si>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</si>
  <si>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</si>
  <si>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</si>
  <si>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</si>
  <si>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</si>
  <si>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</si>
  <si>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</si>
  <si>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</si>
  <si>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</si>
  <si>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</si>
  <si>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</si>
  <si>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</si>
  <si>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</si>
  <si>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</si>
  <si>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</si>
  <si>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</si>
  <si>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</si>
  <si>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</si>
  <si>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</si>
  <si>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</si>
  <si>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</si>
  <si>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</si>
  <si>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</si>
  <si>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</si>
  <si>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</si>
  <si>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</si>
  <si>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</si>
  <si>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</si>
  <si>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</si>
  <si>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</si>
  <si>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</si>
  <si>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</si>
  <si>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</si>
  <si>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</si>
  <si>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</si>
  <si>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</si>
  <si>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</si>
  <si>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</si>
  <si>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</si>
  <si>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</si>
  <si>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</si>
  <si>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</si>
  <si>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</si>
  <si>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</si>
  <si>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</si>
  <si>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</si>
  <si>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</si>
  <si>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</si>
  <si>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</si>
  <si>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</si>
  <si>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</si>
  <si>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</si>
  <si>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</si>
  <si>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</si>
  <si>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</si>
  <si>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</si>
  <si>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</si>
  <si>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</si>
  <si>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</si>
  <si>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</si>
  <si>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</si>
  <si>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</si>
  <si>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</si>
  <si>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</si>
  <si>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</si>
  <si>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</si>
  <si>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</si>
  <si>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</si>
  <si>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</si>
  <si>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</si>
  <si>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</si>
  <si>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</si>
  <si>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</si>
  <si>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</si>
  <si>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</si>
  <si>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</si>
  <si>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</si>
  <si>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</si>
  <si>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</si>
  <si>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</si>
  <si>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</si>
  <si>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</si>
  <si>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</si>
  <si>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</si>
  <si>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</si>
  <si>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</si>
  <si>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</si>
  <si>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</si>
  <si>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</si>
  <si>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</si>
  <si>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</si>
  <si>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</si>
  <si>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</si>
  <si>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</si>
  <si>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</si>
  <si>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</si>
  <si>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</si>
  <si>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</si>
  <si>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</si>
  <si>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</si>
  <si>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</si>
  <si>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</si>
  <si>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</si>
  <si>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</si>
  <si>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</si>
  <si>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</si>
  <si>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</si>
  <si>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</si>
  <si>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</si>
  <si>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</si>
  <si>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</si>
  <si>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</si>
  <si>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</si>
  <si>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</si>
  <si>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</si>
  <si>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</si>
  <si>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</si>
  <si>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</si>
  <si>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</si>
  <si>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</si>
  <si>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</si>
  <si>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</si>
  <si>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</si>
  <si>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</si>
  <si>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</si>
  <si>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</si>
  <si>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</si>
  <si>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</si>
  <si>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</si>
  <si>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</si>
  <si>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</si>
  <si>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</si>
  <si>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</si>
  <si>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</si>
  <si>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</si>
  <si>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</si>
  <si>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</si>
  <si>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</si>
  <si>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</si>
  <si>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</si>
  <si>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</si>
  <si>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</si>
  <si>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</si>
  <si>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</si>
  <si>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</si>
  <si>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</si>
  <si>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</si>
  <si>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</si>
  <si>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</si>
  <si>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</si>
  <si>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</si>
  <si>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</si>
  <si>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</si>
  <si>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</si>
  <si>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</si>
  <si>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</si>
  <si>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</si>
  <si>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</si>
  <si>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</si>
  <si>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</si>
  <si>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</si>
  <si>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</si>
  <si>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</si>
  <si>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</si>
  <si>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</si>
  <si>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</si>
  <si>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</si>
  <si>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</si>
  <si>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</si>
  <si>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</si>
  <si>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</si>
  <si>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</si>
  <si>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</si>
  <si>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</si>
  <si>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</si>
  <si>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</si>
  <si>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</si>
  <si>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</si>
  <si>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</si>
  <si>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</si>
  <si>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</si>
  <si>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</si>
  <si>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</si>
  <si>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</si>
  <si>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</si>
  <si>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</si>
  <si>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</si>
  <si>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</si>
  <si>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</si>
  <si>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</si>
  <si>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</si>
  <si>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</si>
  <si>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</si>
  <si>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</si>
  <si>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</si>
  <si>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</si>
  <si>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</si>
  <si>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</si>
  <si>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</si>
  <si>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</si>
  <si>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</si>
  <si>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</si>
  <si>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</si>
  <si>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</si>
  <si>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</si>
  <si>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</si>
  <si>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</si>
  <si>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</si>
  <si>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</si>
  <si>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</si>
  <si>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</si>
  <si>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</si>
  <si>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</si>
  <si>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</si>
  <si>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</si>
  <si>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</si>
  <si>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</si>
  <si>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</si>
  <si>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</si>
  <si>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</si>
  <si>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</si>
  <si>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</si>
  <si>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</si>
  <si>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</si>
  <si>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</si>
  <si>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</si>
  <si>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</si>
  <si>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</si>
  <si>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</si>
  <si>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</si>
  <si>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</si>
  <si>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</si>
  <si>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</si>
  <si>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</si>
  <si>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</si>
  <si>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</si>
  <si>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</si>
  <si>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</si>
  <si>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</si>
  <si>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</si>
  <si>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</si>
  <si>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</si>
  <si>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</si>
  <si>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</si>
  <si>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</si>
  <si>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</si>
  <si>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</si>
  <si>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</si>
  <si>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</si>
  <si>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</si>
  <si>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</si>
  <si>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</si>
  <si>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</si>
  <si>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</si>
  <si>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</si>
  <si>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</si>
  <si>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</si>
  <si>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</si>
  <si>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</si>
  <si>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</si>
  <si>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</si>
  <si>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</si>
  <si>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</si>
  <si>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</si>
  <si>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</si>
  <si>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</si>
  <si>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</si>
  <si>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</si>
  <si>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</si>
  <si>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</si>
  <si>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</si>
  <si>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</si>
  <si>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</si>
  <si>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</si>
  <si>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</si>
  <si>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</si>
  <si>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</si>
  <si>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</si>
  <si>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</si>
  <si>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</si>
  <si>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</si>
  <si>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</si>
  <si>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</si>
  <si>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</si>
  <si>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</si>
  <si>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</si>
  <si>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</si>
  <si>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</si>
  <si>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</si>
  <si>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</si>
  <si>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</si>
  <si>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</si>
  <si>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</si>
  <si>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</si>
  <si>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</si>
  <si>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</si>
  <si>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</si>
  <si>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</si>
  <si>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</si>
  <si>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</si>
  <si>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</si>
  <si>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</si>
  <si>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</si>
  <si>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</si>
  <si>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</si>
  <si>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</si>
  <si>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</si>
  <si>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</si>
  <si>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</si>
  <si>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</si>
  <si>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</si>
  <si>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</si>
  <si>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</si>
  <si>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</si>
  <si>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</si>
  <si>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</si>
  <si>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</si>
  <si>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</si>
  <si>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</si>
  <si>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</si>
  <si>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</si>
  <si>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</si>
  <si>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</si>
  <si>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</si>
  <si>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</si>
  <si>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</si>
  <si>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</si>
  <si>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</si>
  <si>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</si>
  <si>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</si>
  <si>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</si>
  <si>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</si>
  <si>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</si>
  <si>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</si>
  <si>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</si>
  <si>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</si>
  <si>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</si>
  <si>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</si>
  <si>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</si>
  <si>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</si>
  <si>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</si>
  <si>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</si>
  <si>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</si>
  <si>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</si>
  <si>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</si>
  <si>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</si>
  <si>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</si>
  <si>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</si>
  <si>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</si>
  <si>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</si>
  <si>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</si>
  <si>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</si>
  <si>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</si>
  <si>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</si>
  <si>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</si>
  <si>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</si>
  <si>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</si>
  <si>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</si>
  <si>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</si>
  <si>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</si>
  <si>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</si>
  <si>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</si>
  <si>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</si>
  <si>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</si>
  <si>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</si>
  <si>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</si>
  <si>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</si>
  <si>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</si>
  <si>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</si>
  <si>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</si>
  <si>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</si>
  <si>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</si>
  <si>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</si>
  <si>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</si>
  <si>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</si>
  <si>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</si>
  <si>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</si>
  <si>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</si>
  <si>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</si>
  <si>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</si>
  <si>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</si>
  <si>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</si>
  <si>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</si>
  <si>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</si>
  <si>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</si>
  <si>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</si>
  <si>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</si>
  <si>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</si>
  <si>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</si>
  <si>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</si>
  <si>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</si>
  <si>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</si>
  <si>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</si>
  <si>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</si>
  <si>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</si>
  <si>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</si>
  <si>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</si>
  <si>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</si>
  <si>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</si>
  <si>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</si>
  <si>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</si>
  <si>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</si>
  <si>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</si>
  <si>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</si>
  <si>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</si>
  <si>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</si>
  <si>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</si>
  <si>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</si>
  <si>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</si>
  <si>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</si>
  <si>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</si>
  <si>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</si>
  <si>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</si>
  <si>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</si>
  <si>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</si>
  <si>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</si>
  <si>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</si>
  <si>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</si>
  <si>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</si>
  <si>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</si>
  <si>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</si>
  <si>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</si>
  <si>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</si>
  <si>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</si>
  <si>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</si>
  <si>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</si>
  <si>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</si>
  <si>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</si>
  <si>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</si>
  <si>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</si>
  <si>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</si>
  <si>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</si>
  <si>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</si>
  <si>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</si>
  <si>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</si>
  <si>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</si>
  <si>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</si>
  <si>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</si>
  <si>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</si>
  <si>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</si>
  <si>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</si>
  <si>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</si>
  <si>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</si>
  <si>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</si>
  <si>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</si>
  <si>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</si>
  <si>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</si>
  <si>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</si>
  <si>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</si>
  <si>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</si>
  <si>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</si>
  <si>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</si>
  <si>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</si>
  <si>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</si>
  <si>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</si>
  <si>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</si>
  <si>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</si>
  <si>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</si>
  <si>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</si>
  <si>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</si>
  <si>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</si>
  <si>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</si>
  <si>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</si>
  <si>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</si>
  <si>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</si>
  <si>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</si>
  <si>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</si>
  <si>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</si>
  <si>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</si>
  <si>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</si>
  <si>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</si>
  <si>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</si>
  <si>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</si>
  <si>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</si>
  <si>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</si>
  <si>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</si>
  <si>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</si>
  <si>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</si>
  <si>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</si>
  <si>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</si>
  <si>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</si>
  <si>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</si>
  <si>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</si>
  <si>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</si>
  <si>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</si>
  <si>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</si>
  <si>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</si>
  <si>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</si>
  <si>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</si>
  <si>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</si>
  <si>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</si>
  <si>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</si>
  <si>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</si>
  <si>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</si>
  <si>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</si>
  <si>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</si>
  <si>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</si>
  <si>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</si>
  <si>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</si>
  <si>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</si>
  <si>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</si>
  <si>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</si>
  <si>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</si>
  <si>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</si>
  <si>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</si>
  <si>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</si>
  <si>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</si>
  <si>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</si>
  <si>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</si>
  <si>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</si>
  <si>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</si>
  <si>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</si>
  <si>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</si>
  <si>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</si>
  <si>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</si>
  <si>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</si>
  <si>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</si>
  <si>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</si>
  <si>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</si>
  <si>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</si>
  <si>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</si>
  <si>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</si>
  <si>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</si>
  <si>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</si>
  <si>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</si>
  <si>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</si>
  <si>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</si>
  <si>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</si>
  <si>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</si>
  <si>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</si>
  <si>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</si>
  <si>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</si>
  <si>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</si>
  <si>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</si>
  <si>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</si>
  <si>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</si>
  <si>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</si>
  <si>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</si>
  <si>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</si>
  <si>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</si>
  <si>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</si>
  <si>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</si>
  <si>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</si>
  <si>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</si>
  <si>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</si>
  <si>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</si>
  <si>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</si>
  <si>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</si>
  <si>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</si>
  <si>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</si>
  <si>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</si>
  <si>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</si>
  <si>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</si>
  <si>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</si>
  <si>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</si>
  <si>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</si>
  <si>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</si>
  <si>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</si>
  <si>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</si>
  <si>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</si>
  <si>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</si>
  <si>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</si>
  <si>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</si>
  <si>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</si>
  <si>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</si>
  <si>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</si>
  <si>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</si>
  <si>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</si>
  <si>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</si>
  <si>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</si>
  <si>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</si>
  <si>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</si>
  <si>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</si>
  <si>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</si>
  <si>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</si>
  <si>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</si>
  <si>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</si>
  <si>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</si>
  <si>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</si>
  <si>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</si>
  <si>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</si>
  <si>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</si>
  <si>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</si>
  <si>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</si>
  <si>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</si>
  <si>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</si>
  <si>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</si>
  <si>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</si>
  <si>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</si>
  <si>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</si>
  <si>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</si>
  <si>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</si>
  <si>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</si>
  <si>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</si>
  <si>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</si>
  <si>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</si>
  <si>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</si>
  <si>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</si>
  <si>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</si>
  <si>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</si>
  <si>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</si>
  <si>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</si>
  <si>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</si>
  <si>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</si>
  <si>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</si>
  <si>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</si>
  <si>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</si>
  <si>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</si>
  <si>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</si>
  <si>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</si>
  <si>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</si>
  <si>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</si>
  <si>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</si>
  <si>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</si>
  <si>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</si>
  <si>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</si>
  <si>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</si>
  <si>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</si>
  <si>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</si>
  <si>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</si>
  <si>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</si>
  <si>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</si>
  <si>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</si>
  <si>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</si>
  <si>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</si>
  <si>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</si>
  <si>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</si>
  <si>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</si>
  <si>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</si>
  <si>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</si>
  <si>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</si>
  <si>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</si>
  <si>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</si>
  <si>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</si>
  <si>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</si>
  <si>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</si>
  <si>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</si>
  <si>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</si>
  <si>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</si>
  <si>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</si>
  <si>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</si>
  <si>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</si>
  <si>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</si>
  <si>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</si>
  <si>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</si>
  <si>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</si>
  <si>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</si>
  <si>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</si>
  <si>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</si>
  <si>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</si>
  <si>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</si>
  <si>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</si>
  <si>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</si>
  <si>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</si>
  <si>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</si>
  <si>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</si>
  <si>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</si>
  <si>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</si>
  <si>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</si>
  <si>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</si>
  <si>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</si>
  <si>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</si>
  <si>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</si>
  <si>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</si>
  <si>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</si>
  <si>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</si>
  <si>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</si>
  <si>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</si>
  <si>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</si>
  <si>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</si>
  <si>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</si>
  <si>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</si>
  <si>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</si>
  <si>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</si>
  <si>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</si>
  <si>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</si>
  <si>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</si>
  <si>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</si>
  <si>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</si>
  <si>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</si>
  <si>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</si>
  <si>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</si>
  <si>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</si>
  <si>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</si>
  <si>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</si>
  <si>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</si>
  <si>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</si>
  <si>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</si>
  <si>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</si>
  <si>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</si>
  <si>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</si>
  <si>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</si>
  <si>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</si>
  <si>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</si>
  <si>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</si>
  <si>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</si>
  <si>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</si>
  <si>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</si>
  <si>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</si>
  <si>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</si>
  <si>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</si>
  <si>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</si>
  <si>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</si>
  <si>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</si>
  <si>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</si>
  <si>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</si>
  <si>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</si>
  <si>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</si>
  <si>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</si>
  <si>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</si>
  <si>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</si>
  <si>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</si>
  <si>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</si>
  <si>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</si>
  <si>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</si>
  <si>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</si>
  <si>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</si>
  <si>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</si>
  <si>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</si>
  <si>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</si>
  <si>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</si>
  <si>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</si>
  <si>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</si>
  <si>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</si>
  <si>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</si>
  <si>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</si>
  <si>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</si>
  <si>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</si>
  <si>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</si>
  <si>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</si>
  <si>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</si>
  <si>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</si>
  <si>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</si>
  <si>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</si>
  <si>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</si>
  <si>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</si>
  <si>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</si>
  <si>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</si>
  <si>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</si>
  <si>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</si>
  <si>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</si>
  <si>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</si>
  <si>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</si>
  <si>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</si>
  <si>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</si>
  <si>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</si>
  <si>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</si>
  <si>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</si>
  <si>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</si>
  <si>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</si>
  <si>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</si>
  <si>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</si>
  <si>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</si>
  <si>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</si>
  <si>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</si>
  <si>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</si>
  <si>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</si>
  <si>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</si>
  <si>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</si>
  <si>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</si>
  <si>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</si>
  <si>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</si>
  <si>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</si>
  <si>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</si>
  <si>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</si>
  <si>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</si>
  <si>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</si>
  <si>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</si>
  <si>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</si>
  <si>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</si>
  <si>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</si>
  <si>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</si>
  <si>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</si>
  <si>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</si>
  <si>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</si>
  <si>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</si>
  <si>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</si>
  <si>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</si>
  <si>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</si>
  <si>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</si>
  <si>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</si>
  <si>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</si>
  <si>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</si>
  <si>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</si>
  <si>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</si>
  <si>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</si>
  <si>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</si>
  <si>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</si>
  <si>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</si>
  <si>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</si>
  <si>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</si>
  <si>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</si>
  <si>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</si>
  <si>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</si>
  <si>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</si>
  <si>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</si>
  <si>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</si>
  <si>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</si>
  <si>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</si>
  <si>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</si>
  <si>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</si>
  <si>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</si>
  <si>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</si>
  <si>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</si>
  <si>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</si>
  <si>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</si>
  <si>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</si>
  <si>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</si>
  <si>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</si>
  <si>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</si>
  <si>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</si>
  <si>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</si>
  <si>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</si>
  <si>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</si>
  <si>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</si>
  <si>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</si>
  <si>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</si>
  <si>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</si>
  <si>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</si>
  <si>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</si>
  <si>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</si>
  <si>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</si>
  <si>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</si>
  <si>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</si>
  <si>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</si>
  <si>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</si>
  <si>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</si>
  <si>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</si>
  <si>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</si>
  <si>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</si>
  <si>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</si>
  <si>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</si>
  <si>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</si>
  <si>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</si>
  <si>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</si>
  <si>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</si>
  <si>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</si>
  <si>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</si>
  <si>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</si>
  <si>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</si>
  <si>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</si>
  <si>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</si>
  <si>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</si>
  <si>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</si>
  <si>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</si>
  <si>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</si>
  <si>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</si>
  <si>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</si>
  <si>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</si>
  <si>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</si>
  <si>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</si>
  <si>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</si>
  <si>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</si>
  <si>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</si>
  <si>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</si>
  <si>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</si>
  <si>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</si>
  <si>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</si>
  <si>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</si>
  <si>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</si>
  <si>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</si>
  <si>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</si>
  <si>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</si>
  <si>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</si>
  <si>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</si>
  <si>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</si>
  <si>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</si>
  <si>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</si>
  <si>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</si>
  <si>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</si>
  <si>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</si>
  <si>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</si>
  <si>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</si>
  <si>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</si>
  <si>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</si>
  <si>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</si>
  <si>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</si>
  <si>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</si>
  <si>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</si>
  <si>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</si>
  <si>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</si>
  <si>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</si>
  <si>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</si>
  <si>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</si>
  <si>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</si>
  <si>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</si>
  <si>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</si>
  <si>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</si>
  <si>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</si>
  <si>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</si>
  <si>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</si>
  <si>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</si>
  <si>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</si>
  <si>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</si>
  <si>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</si>
  <si>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</si>
  <si>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</si>
  <si>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</si>
  <si>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</si>
  <si>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</si>
  <si>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</si>
  <si>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</si>
  <si>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</si>
  <si>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</si>
  <si>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</si>
  <si>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</si>
  <si>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</si>
  <si>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</si>
  <si>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</si>
  <si>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</si>
  <si>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</si>
  <si>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</si>
  <si>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</si>
  <si>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</si>
  <si>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</si>
  <si>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</si>
  <si>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</si>
  <si>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</si>
  <si>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</si>
  <si>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</si>
  <si>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</si>
  <si>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</si>
  <si>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</si>
  <si>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</si>
  <si>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</si>
  <si>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</si>
  <si>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</si>
  <si>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</si>
  <si>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</si>
  <si>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</si>
  <si>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</si>
  <si>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</si>
  <si>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</si>
  <si>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</si>
  <si>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</si>
  <si>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</si>
  <si>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</si>
  <si>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</si>
  <si>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</si>
  <si>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</si>
  <si>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</si>
  <si>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</si>
  <si>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</si>
  <si>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</si>
  <si>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</si>
  <si>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</si>
  <si>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</si>
  <si>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</si>
  <si>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</si>
  <si>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</si>
  <si>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</si>
  <si>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</si>
  <si>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</si>
  <si>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</si>
  <si>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</si>
  <si>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</si>
  <si>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</si>
  <si>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</si>
  <si>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</si>
  <si>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</si>
  <si>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</si>
  <si>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</si>
  <si>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</si>
  <si>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</si>
  <si>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</si>
  <si>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</si>
  <si>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</si>
  <si>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</si>
  <si>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</si>
  <si>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</si>
  <si>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</si>
  <si>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</si>
  <si>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</si>
  <si>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</si>
  <si>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</si>
  <si>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</si>
  <si>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</si>
  <si>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</si>
  <si>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</si>
  <si>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</si>
  <si>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</si>
  <si>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</si>
  <si>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</si>
  <si>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</si>
  <si>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</si>
  <si>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</si>
  <si>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</si>
  <si>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</si>
  <si>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</si>
  <si>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</si>
  <si>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</si>
  <si>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</si>
  <si>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</si>
  <si>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</si>
  <si>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</si>
  <si>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</si>
  <si>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</si>
  <si>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</si>
  <si>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</si>
  <si>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</si>
  <si>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</si>
  <si>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</si>
  <si>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</si>
  <si>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</si>
  <si>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</si>
  <si>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</si>
  <si>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</si>
  <si>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</si>
  <si>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</si>
  <si>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</si>
  <si>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</si>
  <si>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</si>
  <si>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</si>
  <si>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</si>
  <si>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</si>
  <si>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</si>
  <si>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</si>
  <si>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</si>
  <si>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</si>
  <si>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</si>
  <si>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</si>
  <si>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</si>
  <si>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</si>
  <si>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</si>
  <si>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</si>
  <si>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</si>
  <si>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</si>
  <si>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</si>
  <si>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</si>
  <si>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</si>
  <si>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</si>
  <si>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</si>
  <si>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</si>
  <si>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</si>
  <si>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</si>
  <si>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</si>
  <si>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</si>
  <si>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</si>
  <si>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</si>
  <si>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</si>
  <si>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</si>
  <si>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</si>
  <si>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</si>
  <si>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</si>
  <si>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</si>
  <si>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</si>
  <si>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</si>
  <si>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</si>
  <si>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</si>
  <si>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</si>
  <si>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</si>
  <si>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</si>
  <si>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</si>
  <si>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</si>
  <si>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</si>
  <si>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</si>
  <si>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</si>
  <si>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</si>
  <si>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</si>
  <si>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</si>
  <si>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</si>
  <si>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</si>
  <si>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</si>
  <si>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</si>
  <si>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</si>
  <si>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</si>
  <si>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</si>
  <si>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</si>
  <si>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</si>
  <si>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</si>
  <si>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</si>
  <si>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</si>
  <si>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</si>
  <si>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</si>
  <si>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</si>
  <si>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</si>
  <si>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</si>
  <si>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</si>
  <si>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</si>
  <si>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</si>
  <si>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</si>
  <si>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</si>
  <si>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</si>
  <si>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</si>
  <si>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</si>
  <si>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</si>
  <si>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</si>
  <si>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</si>
  <si>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</si>
  <si>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</si>
  <si>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</si>
  <si>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</si>
  <si>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</si>
  <si>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</si>
  <si>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</si>
  <si>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</si>
  <si>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</si>
  <si>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</si>
  <si>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</si>
  <si>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</si>
  <si>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</si>
  <si>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</si>
  <si>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</si>
  <si>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</si>
  <si>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</si>
  <si>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</si>
  <si>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</si>
  <si>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</si>
  <si>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</si>
  <si>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</si>
  <si>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</si>
  <si>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</si>
  <si>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</si>
  <si>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</si>
  <si>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</si>
  <si>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</si>
  <si>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</si>
  <si>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</si>
  <si>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</si>
  <si>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</si>
  <si>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</si>
  <si>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</si>
  <si>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</si>
  <si>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</si>
  <si>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</si>
  <si>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</si>
  <si>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</si>
  <si>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</si>
  <si>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</si>
  <si>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</si>
  <si>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</si>
  <si>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</si>
  <si>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</si>
  <si>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</si>
  <si>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</si>
  <si>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</si>
  <si>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</si>
  <si>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</si>
  <si>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</si>
  <si>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</si>
  <si>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</si>
  <si>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</si>
  <si>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</si>
  <si>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</si>
  <si>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</si>
  <si>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</si>
  <si>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</si>
  <si>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</si>
  <si>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</si>
  <si>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</si>
  <si>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</si>
  <si>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</si>
  <si>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</si>
  <si>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</si>
  <si>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</si>
  <si>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</si>
  <si>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</si>
  <si>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</si>
  <si>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</si>
  <si>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</si>
  <si>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</si>
  <si>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</si>
  <si>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</si>
  <si>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</si>
  <si>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</si>
  <si>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</si>
  <si>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</si>
  <si>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</si>
  <si>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</si>
  <si>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</si>
  <si>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</si>
  <si>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</si>
  <si>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</si>
  <si>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</si>
  <si>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</si>
  <si>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</si>
  <si>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</si>
  <si>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</si>
  <si>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</si>
  <si>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</si>
  <si>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</si>
  <si>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</si>
  <si>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</si>
  <si>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</si>
  <si>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</si>
  <si>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</si>
  <si>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</si>
  <si>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</si>
  <si>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</si>
  <si>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</si>
  <si>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</si>
  <si>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</si>
  <si>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</si>
  <si>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</si>
  <si>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</si>
  <si>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</si>
  <si>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</si>
  <si>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</si>
  <si>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</si>
  <si>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</si>
  <si>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</si>
  <si>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</si>
  <si>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</si>
  <si>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</si>
  <si>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</si>
  <si>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</si>
  <si>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</si>
  <si>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</si>
  <si>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</si>
  <si>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</si>
  <si>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</si>
  <si>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</si>
  <si>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</si>
  <si>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</si>
  <si>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</si>
  <si>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</si>
  <si>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</si>
  <si>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</si>
  <si>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</si>
  <si>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</si>
  <si>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</si>
  <si>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</si>
  <si>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</si>
  <si>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</si>
  <si>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</si>
  <si>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</si>
  <si>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</si>
  <si>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</si>
  <si>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</si>
  <si>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</si>
  <si>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</si>
  <si>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</si>
  <si>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</si>
  <si>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</si>
  <si>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</si>
  <si>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</si>
  <si>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</si>
  <si>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</si>
  <si>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</si>
  <si>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</si>
  <si>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</si>
  <si>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</si>
  <si>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</si>
  <si>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</si>
  <si>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</si>
  <si>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</si>
  <si>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</si>
  <si>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</si>
  <si>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</si>
  <si>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</si>
  <si>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</si>
  <si>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</si>
  <si>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</si>
  <si>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</si>
  <si>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</si>
  <si>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</si>
  <si>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</si>
  <si>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</si>
  <si>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</si>
  <si>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</si>
  <si>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</si>
  <si>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</si>
  <si>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</si>
  <si>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</si>
  <si>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</si>
  <si>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</si>
  <si>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</si>
  <si>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</si>
  <si>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</si>
  <si>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</si>
  <si>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</si>
  <si>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</si>
  <si>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</si>
  <si>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</si>
  <si>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</si>
  <si>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</si>
  <si>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</si>
  <si>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</si>
  <si>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</si>
  <si>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</si>
  <si>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</si>
  <si>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</si>
  <si>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</si>
  <si>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</si>
  <si>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</si>
  <si>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</si>
  <si>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</si>
  <si>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</si>
  <si>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</si>
  <si>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</si>
  <si>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</si>
  <si>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</si>
  <si>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</si>
  <si>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</si>
  <si>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</si>
  <si>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</si>
  <si>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</si>
  <si>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</si>
  <si>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</si>
  <si>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</si>
  <si>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</si>
  <si>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</si>
  <si>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</si>
  <si>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</si>
  <si>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</si>
  <si>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</si>
  <si>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</si>
  <si>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</si>
  <si>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</si>
  <si>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</si>
  <si>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</si>
  <si>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</si>
  <si>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</si>
  <si>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</si>
  <si>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</si>
  <si>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</si>
  <si>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</si>
  <si>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</si>
  <si>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</si>
  <si>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</si>
  <si>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</si>
  <si>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</si>
  <si>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</si>
  <si>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</si>
  <si>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</si>
  <si>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</si>
  <si>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</si>
  <si>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</si>
  <si>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</si>
  <si>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</si>
  <si>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</si>
  <si>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</si>
  <si>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</si>
  <si>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</si>
  <si>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</si>
  <si>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</si>
  <si>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</si>
  <si>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</si>
  <si>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</si>
  <si>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</si>
  <si>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</si>
  <si>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</si>
  <si>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</si>
  <si>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</si>
  <si>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</si>
  <si>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</si>
  <si>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</si>
  <si>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</si>
  <si>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</si>
  <si>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</si>
  <si>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</si>
  <si>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</si>
  <si>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</si>
  <si>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</si>
  <si>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</si>
  <si>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</si>
  <si>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</si>
  <si>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</si>
  <si>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</si>
  <si>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</si>
  <si>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</si>
  <si>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</si>
  <si>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</si>
  <si>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</si>
  <si>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</si>
  <si>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</si>
  <si>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</si>
  <si>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</si>
  <si>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</si>
  <si>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</si>
  <si>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</si>
  <si>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</si>
  <si>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</si>
  <si>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</si>
  <si>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</si>
  <si>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</si>
  <si>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</si>
  <si>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</si>
  <si>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</si>
  <si>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</si>
  <si>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</si>
  <si>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</si>
  <si>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</si>
  <si>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</si>
  <si>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</si>
  <si>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</si>
  <si>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</si>
  <si>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</si>
  <si>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</si>
  <si>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</si>
  <si>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</si>
  <si>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</si>
  <si>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</si>
  <si>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</si>
  <si>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</si>
  <si>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</si>
  <si>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</si>
  <si>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</si>
  <si>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</si>
  <si>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</si>
  <si>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</si>
  <si>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</si>
  <si>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</si>
  <si>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</si>
  <si>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</si>
  <si>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</si>
  <si>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</si>
  <si>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</si>
  <si>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</si>
  <si>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</si>
  <si>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</si>
  <si>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</si>
  <si>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</si>
  <si>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</si>
  <si>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</si>
  <si>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</si>
  <si>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</si>
  <si>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</si>
  <si>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</si>
  <si>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</si>
  <si>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</si>
  <si>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</si>
  <si>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</si>
  <si>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</si>
  <si>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</si>
  <si>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</si>
  <si>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</si>
  <si>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</si>
  <si>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</si>
  <si>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</si>
  <si>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</si>
  <si>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</si>
  <si>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</si>
  <si>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</si>
  <si>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</si>
  <si>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</si>
  <si>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</si>
  <si>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</si>
  <si>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</si>
  <si>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</si>
  <si>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</si>
  <si>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</si>
  <si>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</si>
  <si>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</si>
  <si>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</si>
  <si>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</si>
  <si>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</si>
  <si>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</si>
  <si>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</si>
  <si>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</si>
  <si>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</si>
  <si>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</si>
  <si>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</si>
  <si>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</si>
  <si>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</si>
  <si>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</si>
  <si>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</si>
  <si>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</si>
  <si>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</si>
  <si>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</si>
  <si>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</si>
  <si>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</si>
  <si>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</si>
  <si>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</si>
  <si>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</si>
  <si>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</si>
  <si>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</si>
  <si>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</si>
  <si>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</si>
  <si>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</si>
  <si>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</si>
  <si>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</si>
  <si>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</si>
  <si>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</si>
  <si>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</si>
  <si>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</si>
  <si>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</si>
  <si>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</si>
  <si>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</si>
  <si>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</si>
  <si>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</si>
  <si>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</si>
  <si>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</si>
  <si>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</si>
  <si>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</si>
  <si>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</si>
  <si>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</si>
  <si>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</si>
  <si>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</si>
  <si>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</si>
  <si>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</si>
  <si>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</si>
  <si>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</si>
  <si>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</si>
  <si>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</si>
  <si>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</si>
  <si>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</si>
  <si>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</si>
  <si>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</si>
  <si>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</si>
  <si>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</si>
  <si>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</si>
  <si>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</si>
  <si>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</si>
  <si>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</si>
  <si>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</si>
  <si>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</si>
  <si>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</si>
  <si>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</si>
  <si>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</si>
  <si>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</si>
  <si>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</si>
  <si>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</si>
  <si>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</si>
  <si>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</si>
  <si>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</si>
  <si>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</si>
  <si>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</si>
  <si>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</si>
  <si>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</si>
  <si>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</si>
  <si>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</si>
  <si>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</si>
  <si>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</si>
  <si>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</si>
  <si>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</si>
  <si>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</si>
  <si>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</si>
  <si>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</si>
  <si>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</si>
  <si>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</si>
  <si>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</si>
  <si>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</si>
  <si>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</si>
  <si>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</si>
  <si>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</si>
  <si>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</si>
  <si>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</si>
  <si>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</si>
  <si>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</si>
  <si>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</si>
  <si>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</si>
  <si>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</si>
  <si>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</si>
  <si>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</si>
  <si>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</si>
  <si>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</si>
  <si>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</si>
  <si>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</si>
  <si>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</si>
  <si>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</si>
  <si>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</si>
  <si>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</si>
  <si>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</si>
  <si>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</si>
  <si>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</si>
  <si>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</si>
  <si>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</si>
  <si>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</si>
  <si>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</si>
  <si>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</si>
  <si>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</si>
  <si>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</si>
  <si>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</si>
  <si>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</si>
  <si>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</si>
  <si>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</si>
  <si>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</si>
  <si>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</si>
  <si>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</si>
  <si>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</si>
  <si>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</si>
  <si>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</si>
  <si>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</si>
  <si>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</si>
  <si>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</si>
  <si>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</si>
  <si>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</si>
  <si>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</si>
  <si>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</si>
  <si>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</si>
  <si>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</si>
  <si>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</si>
  <si>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</si>
  <si>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</si>
  <si>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</si>
  <si>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</si>
  <si>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</si>
  <si>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</si>
  <si>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</si>
  <si>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</si>
  <si>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</si>
  <si>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</si>
  <si>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</si>
  <si>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</si>
  <si>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</si>
  <si>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</si>
  <si>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</si>
  <si>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</si>
  <si>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</si>
  <si>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</si>
  <si>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</si>
  <si>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</si>
  <si>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</si>
  <si>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</si>
  <si>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</si>
  <si>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</si>
  <si>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</si>
  <si>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</si>
  <si>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</si>
  <si>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</si>
  <si>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</si>
  <si>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</si>
  <si>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</si>
  <si>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</si>
  <si>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</si>
  <si>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</si>
  <si>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</si>
  <si>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</si>
  <si>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</si>
  <si>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</si>
  <si>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</si>
  <si>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</si>
  <si>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</si>
  <si>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</si>
  <si>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</si>
  <si>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</si>
  <si>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</si>
  <si>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</si>
  <si>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</si>
  <si>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</si>
  <si>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</si>
  <si>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</si>
  <si>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</si>
  <si>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</si>
  <si>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</si>
  <si>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</si>
  <si>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</si>
  <si>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</si>
  <si>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</si>
  <si>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</si>
  <si>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</si>
  <si>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</si>
  <si>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</si>
  <si>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</si>
  <si>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</si>
  <si>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</si>
  <si>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</si>
  <si>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</si>
  <si>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</si>
  <si>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</si>
  <si>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</si>
  <si>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</si>
  <si>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</si>
  <si>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</si>
  <si>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</si>
  <si>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</si>
  <si>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</si>
  <si>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</si>
  <si>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</si>
  <si>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</si>
  <si>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</si>
  <si>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</si>
  <si>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</si>
  <si>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</si>
  <si>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</si>
  <si>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</si>
  <si>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</si>
  <si>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</si>
  <si>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</si>
  <si>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</si>
  <si>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</si>
  <si>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</si>
  <si>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</si>
  <si>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</si>
  <si>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</si>
  <si>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</si>
  <si>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</si>
  <si>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</si>
  <si>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</si>
  <si>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</si>
  <si>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</si>
  <si>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</si>
  <si>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</si>
  <si>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</si>
  <si>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</si>
  <si>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</si>
  <si>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</si>
  <si>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</si>
  <si>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</si>
  <si>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</si>
  <si>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</si>
  <si>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</si>
  <si>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</si>
  <si>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</si>
  <si>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</si>
  <si>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</si>
  <si>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</si>
  <si>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</si>
  <si>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</si>
  <si>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</si>
  <si>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</si>
  <si>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</si>
  <si>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</si>
  <si>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</si>
  <si>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</si>
  <si>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</si>
  <si>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</si>
  <si>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</si>
  <si>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</si>
  <si>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</si>
  <si>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</si>
  <si>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</si>
  <si>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</si>
  <si>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</si>
  <si>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</si>
  <si>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</si>
  <si>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</si>
  <si>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</si>
  <si>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</si>
  <si>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</si>
  <si>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</si>
  <si>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</si>
  <si>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</si>
  <si>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</si>
  <si>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</si>
  <si>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</si>
  <si>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</si>
  <si>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</si>
  <si>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</si>
  <si>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</si>
  <si>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</si>
  <si>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</si>
  <si>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</si>
  <si>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</si>
  <si>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</si>
  <si>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</si>
  <si>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</si>
  <si>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</si>
  <si>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</si>
  <si>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</si>
  <si>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</si>
  <si>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</si>
  <si>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</si>
  <si>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</si>
  <si>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</si>
  <si>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</si>
  <si>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</si>
  <si>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</si>
  <si>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</si>
  <si>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</si>
  <si>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</si>
  <si>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</si>
  <si>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</si>
  <si>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</si>
  <si>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</si>
  <si>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</si>
  <si>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</si>
  <si>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</si>
  <si>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</si>
  <si>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</si>
  <si>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</si>
  <si>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</si>
  <si>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</si>
  <si>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</si>
  <si>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</si>
  <si>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</si>
  <si>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</si>
  <si>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</si>
  <si>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</si>
  <si>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</si>
  <si>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</si>
  <si>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</si>
  <si>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</si>
  <si>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</si>
  <si>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</si>
  <si>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</si>
  <si>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</si>
  <si>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</si>
  <si>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</si>
  <si>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</si>
  <si>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</si>
  <si>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</si>
  <si>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</si>
  <si>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</si>
  <si>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</si>
  <si>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</si>
  <si>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</si>
  <si>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</si>
  <si>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</si>
  <si>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</si>
  <si>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</si>
  <si>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</si>
  <si>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</si>
  <si>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</si>
  <si>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</si>
  <si>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</si>
  <si>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</si>
  <si>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</si>
  <si>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</si>
  <si>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</si>
  <si>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</si>
  <si>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</si>
  <si>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</si>
  <si>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</si>
  <si>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</si>
  <si>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</si>
  <si>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</si>
  <si>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</si>
  <si>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</si>
  <si>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</si>
  <si>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</si>
  <si>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</si>
  <si>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</si>
  <si>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</si>
  <si>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</si>
  <si>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</si>
  <si>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</si>
  <si>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</si>
  <si>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</si>
  <si>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</si>
  <si>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</si>
  <si>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</si>
  <si>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</si>
  <si>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</si>
  <si>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</si>
  <si>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</si>
  <si>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</si>
  <si>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</si>
  <si>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</si>
  <si>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</si>
  <si>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</si>
  <si>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</si>
  <si>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</si>
  <si>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</si>
  <si>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</si>
  <si>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</si>
  <si>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</si>
  <si>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</si>
  <si>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</si>
  <si>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</si>
  <si>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</si>
  <si>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</si>
  <si>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</si>
  <si>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</si>
  <si>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</si>
  <si>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</si>
  <si>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</si>
  <si>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</si>
  <si>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</si>
  <si>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</si>
  <si>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</si>
  <si>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</si>
  <si>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</si>
  <si>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</si>
  <si>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</si>
  <si>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</si>
  <si>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</si>
  <si>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</si>
  <si>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</si>
  <si>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</si>
  <si>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</si>
  <si>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</si>
  <si>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</si>
  <si>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</si>
  <si>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</si>
  <si>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</si>
  <si>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</si>
  <si>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</si>
  <si>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</si>
  <si>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</si>
  <si>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</si>
  <si>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</si>
  <si>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</si>
  <si>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</si>
  <si>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</si>
  <si>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</si>
  <si>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</si>
  <si>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</si>
  <si>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</si>
  <si>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</si>
  <si>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</si>
  <si>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</si>
  <si>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</si>
  <si>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</si>
  <si>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</si>
  <si>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</si>
  <si>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</si>
  <si>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</si>
  <si>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</si>
  <si>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</si>
  <si>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</si>
  <si>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</si>
  <si>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</si>
  <si>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</si>
  <si>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</si>
  <si>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</si>
  <si>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</si>
  <si>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</si>
  <si>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</si>
  <si>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</si>
  <si>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</si>
  <si>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</si>
  <si>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</si>
  <si>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</si>
  <si>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</si>
  <si>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</si>
  <si>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</si>
  <si>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</si>
  <si>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</si>
  <si>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</si>
  <si>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</si>
  <si>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</si>
  <si>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</si>
  <si>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</si>
  <si>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</si>
  <si>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</si>
  <si>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</si>
  <si>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</si>
  <si>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</si>
  <si>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</si>
  <si>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</si>
  <si>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</si>
  <si>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</si>
  <si>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</si>
  <si>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</si>
  <si>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</si>
  <si>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</si>
  <si>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</si>
  <si>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</si>
  <si>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</si>
  <si>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</si>
  <si>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</si>
  <si>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</si>
  <si>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</si>
  <si>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</si>
  <si>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</si>
  <si>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</si>
  <si>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</si>
  <si>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</si>
  <si>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</si>
  <si>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</si>
  <si>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</si>
  <si>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</si>
  <si>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</si>
  <si>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</si>
  <si>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</si>
  <si>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</si>
  <si>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</si>
  <si>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</si>
  <si>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</si>
  <si>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</si>
  <si>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</si>
  <si>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</si>
  <si>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</si>
  <si>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</si>
  <si>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</si>
  <si>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</si>
  <si>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</si>
  <si>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</si>
  <si>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</si>
  <si>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</si>
  <si>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</si>
  <si>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</si>
  <si>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</si>
  <si>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</si>
  <si>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</si>
  <si>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</si>
  <si>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</si>
  <si>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</si>
  <si>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</si>
  <si>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</si>
  <si>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</si>
  <si>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</si>
  <si>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</si>
  <si>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</si>
  <si>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</si>
  <si>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</si>
  <si>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</si>
  <si>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</si>
  <si>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</si>
  <si>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</si>
  <si>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</si>
  <si>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</si>
  <si>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</si>
  <si>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</si>
  <si>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</si>
  <si>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</si>
  <si>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</si>
  <si>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</si>
  <si>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</si>
  <si>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</si>
  <si>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</si>
  <si>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</si>
  <si>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</si>
  <si>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</si>
  <si>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</si>
  <si>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</si>
  <si>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</si>
  <si>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</si>
  <si>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</si>
  <si>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</si>
  <si>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</si>
  <si>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</si>
  <si>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</si>
  <si>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</si>
  <si>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</si>
  <si>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</si>
  <si>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</si>
  <si>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</si>
  <si>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</si>
  <si>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</si>
  <si>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</si>
  <si>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</si>
  <si>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</si>
  <si>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</si>
  <si>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</si>
  <si>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</si>
  <si>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</si>
  <si>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</si>
  <si>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</si>
  <si>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</si>
  <si>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</si>
  <si>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</si>
  <si>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</si>
  <si>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</si>
  <si>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</si>
  <si>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</si>
  <si>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</si>
  <si>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</si>
  <si>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</si>
  <si>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</si>
  <si>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</si>
  <si>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</si>
  <si>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</si>
  <si>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</si>
  <si>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</si>
  <si>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</si>
  <si>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</si>
  <si>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</si>
  <si>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</si>
  <si>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</si>
  <si>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</si>
  <si>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</si>
  <si>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</si>
  <si>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</si>
  <si>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</si>
  <si>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</si>
  <si>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</si>
  <si>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</si>
  <si>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</si>
  <si>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</si>
  <si>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</si>
  <si>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</si>
  <si>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</si>
  <si>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</si>
  <si>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</si>
  <si>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</si>
  <si>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</si>
  <si>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</si>
  <si>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</si>
  <si>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</si>
  <si>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</si>
  <si>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</si>
  <si>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</si>
  <si>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</si>
  <si>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</si>
  <si>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</si>
  <si>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</si>
  <si>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</si>
  <si>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</si>
  <si>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</si>
  <si>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</si>
  <si>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</si>
  <si>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</si>
  <si>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</si>
  <si>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</si>
  <si>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</si>
  <si>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</si>
  <si>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</si>
  <si>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</si>
  <si>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</si>
  <si>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</si>
  <si>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</si>
  <si>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</si>
  <si>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</si>
  <si>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</si>
  <si>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</si>
  <si>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</si>
  <si>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</si>
  <si>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</si>
  <si>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</si>
  <si>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</si>
  <si>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</si>
  <si>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</si>
  <si>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</si>
  <si>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</si>
  <si>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</si>
  <si>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</si>
  <si>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</si>
  <si>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</si>
  <si>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</si>
  <si>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</si>
  <si>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</si>
  <si>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</si>
  <si>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</si>
  <si>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</si>
  <si>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</si>
  <si>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</si>
  <si>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</si>
  <si>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</si>
  <si>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</si>
  <si>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</si>
  <si>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</si>
  <si>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</si>
  <si>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</si>
  <si>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</si>
  <si>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</si>
  <si>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</si>
  <si>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</si>
  <si>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</si>
  <si>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</si>
  <si>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</si>
  <si>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</si>
  <si>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</si>
  <si>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</si>
  <si>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</si>
  <si>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</si>
  <si>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</si>
  <si>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</si>
  <si>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</si>
  <si>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</si>
  <si>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</si>
  <si>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</si>
  <si>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</si>
  <si>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</si>
  <si>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</si>
  <si>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</si>
  <si>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</si>
  <si>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</si>
  <si>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</si>
  <si>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</si>
  <si>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</si>
  <si>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</si>
  <si>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</si>
  <si>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</si>
  <si>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</si>
  <si>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</si>
  <si>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</si>
  <si>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</si>
  <si>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</si>
  <si>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</si>
  <si>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</si>
  <si>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</si>
  <si>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</si>
  <si>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</si>
  <si>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</si>
  <si>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</si>
  <si>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</si>
  <si>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</si>
  <si>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</si>
  <si>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</si>
  <si>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</si>
  <si>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</si>
  <si>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</si>
  <si>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</si>
  <si>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</si>
  <si>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</si>
  <si>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</si>
  <si>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</si>
  <si>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</si>
  <si>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</si>
  <si>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</si>
  <si>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</si>
  <si>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</si>
  <si>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</si>
  <si>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</si>
  <si>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</si>
  <si>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</si>
  <si>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</si>
  <si>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</si>
  <si>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</si>
  <si>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</si>
  <si>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</si>
  <si>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</si>
  <si>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</si>
  <si>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</si>
  <si>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</si>
  <si>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</si>
  <si>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</si>
  <si>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</si>
  <si>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</si>
  <si>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</si>
  <si>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</si>
  <si>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</si>
  <si>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</si>
  <si>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</si>
  <si>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</si>
  <si>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</si>
  <si>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</si>
  <si>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</si>
  <si>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</si>
  <si>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</si>
  <si>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</si>
  <si>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</si>
  <si>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</si>
  <si>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</si>
  <si>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</si>
  <si>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</si>
  <si>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</si>
  <si>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</si>
  <si>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</si>
  <si>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</si>
  <si>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</si>
  <si>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</si>
  <si>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</si>
  <si>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</si>
  <si>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</si>
  <si>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</si>
  <si>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</si>
  <si>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</si>
  <si>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</si>
  <si>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</si>
  <si>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</si>
  <si>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</si>
  <si>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</si>
  <si>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</si>
  <si>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</si>
  <si>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</si>
  <si>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</si>
  <si>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</si>
  <si>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</si>
  <si>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</si>
  <si>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</si>
  <si>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</si>
  <si>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</si>
  <si>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</si>
  <si>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</si>
  <si>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</si>
  <si>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</si>
  <si>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</si>
  <si>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</si>
  <si>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</si>
  <si>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</si>
  <si>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</si>
  <si>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</si>
  <si>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</si>
  <si>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</si>
  <si>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</si>
  <si>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</si>
  <si>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</si>
  <si>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</si>
  <si>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</si>
  <si>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</si>
  <si>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</si>
  <si>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</si>
  <si>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</si>
  <si>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</si>
  <si>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</si>
  <si>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</si>
  <si>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</si>
  <si>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</si>
  <si>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</si>
  <si>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</si>
  <si>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</si>
  <si>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</si>
  <si>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</si>
  <si>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</si>
  <si>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</si>
  <si>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</si>
  <si>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</si>
  <si>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</si>
  <si>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</si>
  <si>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</si>
  <si>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</si>
  <si>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</si>
  <si>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</si>
  <si>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</si>
  <si>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</si>
  <si>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</si>
  <si>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</si>
  <si>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</si>
  <si>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</si>
  <si>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</si>
  <si>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</si>
  <si>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</si>
  <si>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</si>
  <si>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</si>
  <si>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</si>
  <si>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</si>
  <si>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</si>
  <si>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</si>
  <si>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</si>
  <si>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</si>
  <si>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</si>
  <si>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</si>
  <si>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</si>
  <si>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</si>
  <si>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</si>
  <si>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</si>
  <si>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</si>
  <si>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</si>
  <si>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</si>
  <si>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</si>
  <si>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</si>
  <si>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</si>
  <si>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</si>
  <si>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</si>
  <si>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</si>
  <si>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</si>
  <si>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</si>
  <si>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</si>
  <si>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</si>
  <si>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</si>
  <si>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</si>
  <si>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</si>
  <si>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</si>
  <si>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</si>
  <si>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</si>
  <si>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</si>
  <si>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</si>
  <si>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</si>
  <si>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</si>
  <si>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</si>
  <si>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</si>
  <si>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</si>
  <si>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</si>
  <si>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</si>
  <si>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</si>
  <si>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</si>
  <si>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</si>
  <si>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</si>
  <si>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</si>
  <si>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</si>
  <si>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</si>
  <si>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</si>
  <si>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</si>
  <si>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</si>
  <si>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</si>
  <si>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</si>
  <si>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</si>
  <si>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</si>
  <si>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</si>
  <si>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</si>
  <si>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</si>
  <si>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</si>
  <si>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</si>
  <si>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</si>
  <si>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</si>
  <si>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</si>
  <si>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</si>
  <si>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</si>
  <si>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</si>
  <si>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</si>
  <si>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</si>
  <si>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</si>
  <si>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</si>
  <si>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</si>
  <si>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</si>
  <si>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</si>
  <si>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</si>
  <si>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</si>
  <si>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</si>
  <si>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</si>
  <si>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</si>
  <si>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</si>
  <si>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</si>
  <si>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</si>
  <si>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</si>
  <si>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</si>
  <si>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</si>
  <si>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</si>
  <si>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</si>
  <si>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</si>
  <si>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</si>
  <si>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</si>
  <si>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</si>
  <si>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</si>
  <si>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</si>
  <si>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</si>
  <si>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</si>
  <si>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</si>
  <si>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</si>
  <si>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</si>
  <si>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</si>
  <si>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</si>
  <si>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</si>
  <si>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</si>
  <si>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</si>
  <si>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</si>
  <si>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</si>
  <si>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</si>
  <si>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</si>
  <si>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</si>
  <si>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</si>
  <si>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</si>
  <si>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</si>
  <si>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</si>
  <si>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</si>
  <si>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</si>
  <si>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</si>
  <si>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</si>
  <si>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</si>
  <si>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</si>
  <si>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</si>
  <si>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</si>
  <si>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</si>
  <si>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</si>
  <si>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</si>
  <si>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</si>
  <si>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</si>
  <si>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</si>
  <si>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</si>
  <si>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</si>
  <si>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</si>
  <si>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</si>
  <si>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</si>
  <si>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</si>
  <si>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</si>
  <si>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</si>
  <si>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</si>
  <si>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</si>
  <si>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</si>
  <si>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</si>
  <si>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</si>
  <si>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</si>
  <si>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</si>
  <si>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</si>
  <si>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</si>
  <si>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</si>
  <si>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</si>
  <si>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</si>
  <si>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</si>
  <si>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</si>
  <si>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</si>
  <si>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</si>
  <si>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</si>
  <si>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</si>
  <si>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</si>
  <si>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</si>
  <si>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</si>
  <si>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</si>
  <si>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</si>
  <si>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</si>
  <si>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</si>
  <si>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</si>
  <si>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</si>
  <si>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</si>
  <si>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</si>
  <si>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</si>
  <si>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</si>
  <si>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</si>
  <si>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</si>
  <si>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</si>
  <si>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</si>
  <si>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</si>
  <si>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</si>
  <si>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</si>
  <si>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</si>
  <si>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</si>
  <si>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</si>
  <si>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</si>
  <si>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</si>
  <si>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</si>
  <si>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</si>
  <si>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</si>
  <si>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</si>
  <si>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</si>
  <si>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</si>
  <si>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</si>
  <si>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</si>
  <si>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</si>
  <si>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</si>
  <si>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</si>
  <si>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</si>
  <si>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</si>
  <si>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</si>
  <si>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</si>
  <si>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</si>
  <si>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</si>
  <si>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</si>
  <si>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</si>
  <si>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</si>
  <si>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</si>
  <si>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</si>
  <si>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</si>
  <si>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</si>
  <si>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</si>
  <si>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</si>
  <si>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</si>
  <si>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</si>
  <si>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</si>
  <si>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</si>
  <si>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</si>
  <si>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</si>
  <si>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</si>
  <si>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</si>
  <si>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</si>
  <si>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</si>
  <si>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</si>
  <si>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</si>
  <si>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</si>
  <si>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</si>
  <si>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</si>
  <si>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</si>
  <si>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</si>
  <si>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</si>
  <si>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</si>
  <si>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</si>
  <si>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</si>
  <si>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</si>
  <si>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</si>
  <si>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</si>
  <si>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</si>
  <si>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</si>
  <si>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</si>
  <si>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</si>
  <si>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</si>
  <si>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</si>
  <si>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</si>
  <si>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</si>
  <si>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</si>
  <si>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</si>
  <si>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</si>
  <si>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</si>
  <si>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</si>
  <si>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</si>
  <si>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</si>
  <si>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</si>
  <si>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</si>
  <si>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</si>
  <si>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</si>
  <si>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</si>
  <si>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</si>
  <si>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</si>
  <si>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</si>
  <si>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</si>
  <si>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</si>
  <si>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</si>
  <si>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</si>
  <si>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</si>
  <si>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</si>
  <si>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</si>
  <si>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</si>
  <si>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</si>
  <si>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</si>
  <si>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</si>
  <si>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</si>
  <si>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</si>
  <si>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</si>
  <si>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</si>
  <si>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</si>
  <si>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</si>
  <si>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</si>
  <si>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</si>
  <si>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</si>
  <si>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</si>
  <si>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</si>
  <si>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</si>
  <si>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</si>
  <si>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</si>
  <si>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</si>
  <si>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</si>
  <si>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</si>
  <si>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</si>
  <si>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</si>
  <si>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</si>
  <si>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</si>
  <si>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</si>
  <si>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</si>
  <si>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</si>
  <si>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</si>
  <si>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</si>
  <si>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</si>
  <si>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</si>
  <si>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</si>
  <si>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</si>
  <si>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</si>
  <si>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</si>
  <si>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</si>
  <si>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</si>
  <si>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</si>
  <si>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</si>
  <si>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</si>
  <si>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</si>
  <si>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</si>
  <si>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</si>
  <si>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</si>
  <si>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</si>
  <si>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</si>
  <si>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</si>
  <si>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</si>
  <si>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</si>
  <si>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</si>
  <si>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</si>
  <si>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</si>
  <si>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</si>
  <si>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</si>
  <si>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</si>
  <si>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</si>
  <si>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</si>
  <si>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</si>
  <si>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</si>
  <si>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</si>
  <si>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</si>
  <si>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</si>
  <si>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</si>
  <si>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</si>
  <si>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</si>
  <si>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</si>
  <si>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</si>
  <si>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</si>
  <si>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</si>
  <si>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</si>
  <si>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</si>
  <si>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</si>
  <si>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</si>
  <si>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</si>
  <si>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</si>
  <si>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</si>
  <si>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</si>
  <si>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</si>
  <si>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</si>
  <si>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</si>
  <si>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</si>
  <si>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</si>
  <si>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</si>
  <si>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</si>
  <si>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</si>
  <si>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</si>
  <si>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</si>
  <si>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</si>
  <si>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</si>
  <si>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</si>
  <si>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</si>
  <si>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</si>
  <si>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</si>
  <si>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</si>
  <si>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</si>
  <si>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</si>
  <si>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</si>
  <si>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</si>
  <si>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</si>
  <si>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</si>
  <si>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</si>
  <si>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</si>
  <si>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</si>
  <si>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</si>
  <si>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</si>
  <si>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</si>
  <si>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</si>
  <si>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</si>
  <si>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</si>
  <si>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</si>
  <si>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</si>
  <si>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</si>
  <si>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</si>
  <si>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</si>
  <si>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</si>
  <si>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</si>
  <si>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</si>
  <si>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</si>
  <si>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</si>
  <si>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</si>
  <si>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</si>
  <si>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</si>
  <si>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</si>
  <si>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</si>
  <si>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</si>
  <si>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</si>
  <si>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</si>
  <si>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</si>
  <si>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</si>
  <si>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</si>
  <si>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</si>
  <si>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</si>
  <si>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</si>
  <si>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</si>
  <si>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</si>
  <si>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</si>
  <si>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</si>
  <si>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</si>
  <si>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</si>
  <si>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</si>
  <si>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</si>
  <si>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</si>
  <si>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</si>
  <si>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</si>
  <si>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</si>
  <si>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</si>
  <si>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</si>
  <si>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</si>
  <si>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</si>
  <si>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</si>
  <si>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</si>
  <si>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</si>
  <si>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</si>
  <si>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</si>
  <si>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</si>
  <si>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</si>
  <si>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</si>
  <si>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</si>
  <si>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</si>
  <si>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</si>
  <si>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</si>
  <si>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</si>
  <si>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</si>
  <si>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</si>
  <si>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</si>
  <si>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</si>
  <si>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</si>
  <si>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</si>
  <si>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</si>
  <si>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</si>
  <si>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</si>
  <si>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</si>
  <si>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</si>
  <si>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</si>
  <si>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</si>
  <si>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</si>
  <si>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</si>
  <si>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</si>
  <si>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</si>
  <si>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</si>
  <si>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</si>
  <si>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</si>
  <si>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</si>
  <si>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</si>
  <si>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</si>
  <si>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</si>
  <si>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</si>
  <si>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</si>
  <si>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</si>
  <si>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</si>
  <si>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</si>
  <si>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</si>
  <si>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</si>
  <si>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</si>
  <si>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</si>
  <si>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</si>
  <si>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</si>
  <si>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</si>
  <si>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</si>
  <si>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</si>
  <si>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</si>
  <si>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</si>
  <si>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</si>
  <si>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</si>
  <si>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</si>
  <si>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</si>
  <si>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</si>
  <si>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</si>
  <si>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</si>
  <si>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</si>
  <si>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</si>
  <si>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</si>
  <si>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</si>
  <si>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</si>
  <si>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</si>
  <si>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</si>
  <si>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</si>
  <si>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</si>
  <si>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</si>
  <si>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</si>
  <si>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</si>
  <si>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</si>
  <si>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</si>
  <si>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</si>
  <si>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</si>
  <si>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</si>
  <si>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</si>
  <si>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</si>
  <si>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</si>
  <si>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</si>
  <si>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</si>
  <si>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</si>
  <si>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</si>
  <si>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</si>
  <si>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</si>
  <si>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</si>
  <si>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</si>
  <si>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</si>
  <si>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</si>
  <si>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</si>
  <si>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</si>
  <si>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</si>
  <si>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</si>
  <si>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</si>
  <si>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</si>
  <si>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</si>
  <si>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</si>
  <si>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</si>
  <si>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</si>
  <si>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</si>
  <si>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</si>
  <si>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</si>
  <si>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</si>
  <si>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</si>
  <si>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</si>
  <si>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</si>
  <si>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</si>
  <si>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</si>
  <si>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</si>
  <si>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</si>
  <si>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</si>
  <si>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</si>
  <si>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</si>
  <si>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</si>
  <si>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</si>
  <si>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</si>
  <si>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</si>
  <si>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</si>
  <si>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</si>
  <si>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</si>
  <si>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</si>
  <si>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</si>
  <si>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</si>
  <si>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</si>
  <si>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</si>
  <si>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</si>
  <si>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</si>
  <si>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</si>
  <si>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</si>
  <si>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</si>
  <si>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</si>
  <si>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</si>
  <si>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</si>
  <si>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</si>
  <si>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</si>
  <si>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</si>
  <si>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</si>
  <si>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</si>
  <si>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</si>
  <si>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</si>
  <si>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</si>
  <si>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</si>
  <si>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</si>
  <si>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</si>
  <si>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</si>
  <si>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</si>
  <si>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</si>
  <si>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</si>
  <si>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</si>
  <si>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</si>
  <si>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</si>
  <si>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</si>
  <si>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</si>
  <si>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</si>
  <si>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</si>
  <si>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</si>
  <si>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</si>
  <si>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</si>
  <si>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</si>
  <si>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</si>
  <si>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</si>
  <si>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</si>
  <si>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</si>
  <si>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</si>
  <si>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</si>
  <si>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</si>
  <si>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</si>
  <si>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</si>
  <si>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</si>
  <si>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</si>
  <si>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</si>
  <si>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</si>
  <si>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</si>
  <si>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</si>
  <si>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</si>
  <si>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</si>
  <si>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</si>
  <si>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</si>
  <si>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</si>
  <si>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</si>
  <si>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</si>
  <si>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</si>
  <si>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</si>
  <si>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</si>
  <si>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</si>
  <si>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</si>
  <si>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</si>
  <si>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</si>
  <si>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</si>
  <si>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</si>
  <si>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</si>
  <si>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</si>
  <si>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</si>
  <si>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</si>
  <si>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</si>
  <si>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</si>
  <si>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</si>
  <si>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</si>
  <si>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</si>
  <si>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</si>
  <si>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</si>
  <si>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</si>
  <si>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</si>
  <si>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</si>
  <si>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</si>
  <si>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</si>
  <si>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</si>
  <si>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</si>
  <si>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</si>
  <si>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</si>
  <si>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</si>
  <si>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</si>
  <si>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</si>
  <si>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</si>
  <si>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</si>
  <si>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</si>
  <si>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</si>
  <si>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</si>
  <si>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</si>
  <si>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</si>
  <si>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</si>
  <si>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</si>
  <si>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</si>
  <si>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</si>
  <si>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</si>
  <si>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</si>
  <si>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</si>
  <si>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</si>
  <si>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</si>
  <si>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</si>
  <si>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</si>
  <si>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</si>
  <si>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</si>
  <si>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</si>
  <si>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</si>
  <si>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</si>
  <si>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</si>
  <si>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</si>
  <si>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</si>
  <si>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</si>
  <si>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</si>
  <si>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</si>
  <si>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</si>
  <si>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</si>
  <si>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</si>
  <si>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</si>
  <si>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</si>
  <si>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</si>
  <si>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</si>
  <si>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</si>
  <si>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</si>
  <si>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</si>
  <si>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</si>
  <si>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</si>
  <si>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</si>
  <si>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</si>
  <si>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</si>
  <si>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</si>
  <si>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</si>
  <si>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</si>
  <si>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</si>
  <si>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</si>
  <si>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</si>
  <si>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</si>
  <si>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</si>
  <si>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</si>
  <si>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</si>
  <si>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</si>
  <si>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</si>
  <si>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</si>
  <si>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</si>
  <si>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</si>
  <si>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</si>
  <si>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</si>
  <si>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</si>
  <si>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</si>
  <si>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</si>
  <si>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</si>
  <si>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</si>
  <si>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</si>
  <si>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</si>
  <si>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</si>
  <si>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</si>
  <si>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</si>
  <si>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</si>
  <si>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</si>
  <si>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</si>
  <si>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</si>
  <si>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</si>
  <si>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</si>
  <si>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</si>
  <si>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</si>
  <si>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</si>
  <si>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</si>
  <si>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</si>
  <si>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</si>
  <si>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</si>
  <si>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</si>
  <si>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</si>
  <si>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</si>
  <si>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</si>
  <si>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</si>
  <si>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</si>
  <si>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</si>
  <si>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</si>
  <si>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</si>
  <si>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</si>
  <si>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</si>
  <si>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</si>
  <si>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</si>
  <si>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</si>
  <si>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</si>
  <si>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</si>
  <si>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</si>
  <si>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</si>
  <si>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</si>
  <si>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</si>
  <si>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</si>
  <si>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</si>
  <si>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</si>
  <si>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</si>
  <si>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</si>
  <si>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</si>
  <si>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</si>
  <si>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</si>
  <si>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</si>
  <si>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</si>
  <si>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</si>
  <si>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</si>
  <si>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</si>
  <si>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</si>
  <si>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</si>
  <si>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</si>
  <si>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</si>
  <si>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</si>
  <si>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</si>
  <si>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</si>
  <si>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</si>
  <si>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</si>
  <si>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</si>
  <si>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</si>
  <si>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</si>
  <si>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</si>
  <si>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</si>
  <si>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</si>
  <si>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</si>
  <si>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</si>
  <si>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</si>
  <si>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</si>
  <si>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</si>
  <si>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</si>
  <si>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</si>
  <si>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</si>
  <si>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</si>
  <si>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</si>
  <si>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</si>
  <si>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</si>
  <si>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</si>
  <si>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</si>
  <si>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</si>
  <si>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</si>
  <si>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</si>
  <si>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</si>
  <si>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</si>
  <si>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</si>
  <si>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</si>
  <si>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</si>
  <si>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</si>
  <si>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</si>
  <si>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</si>
  <si>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</si>
  <si>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</si>
  <si>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</si>
  <si>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</si>
  <si>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</si>
  <si>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</si>
  <si>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</si>
  <si>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</si>
  <si>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</si>
  <si>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</si>
  <si>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</si>
  <si>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</si>
  <si>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</si>
  <si>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</si>
  <si>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</si>
  <si>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</si>
  <si>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</si>
  <si>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</si>
  <si>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</si>
  <si>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</si>
  <si>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</si>
  <si>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</si>
  <si>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</si>
  <si>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</si>
  <si>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</si>
  <si>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</si>
  <si>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</si>
  <si>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</si>
  <si>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</si>
  <si>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</si>
  <si>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</si>
  <si>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</si>
  <si>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</si>
  <si>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</si>
  <si>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</si>
  <si>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</si>
  <si>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</si>
  <si>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</si>
  <si>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</si>
  <si>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</si>
  <si>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</si>
  <si>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</si>
  <si>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</si>
  <si>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</si>
  <si>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</si>
  <si>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</si>
  <si>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</si>
  <si>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</si>
  <si>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</si>
  <si>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</si>
  <si>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</si>
  <si>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</si>
  <si>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</si>
  <si>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</si>
  <si>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</si>
  <si>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</si>
  <si>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</si>
  <si>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</si>
  <si>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</si>
  <si>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</si>
  <si>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</si>
  <si>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</si>
  <si>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</si>
  <si>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</si>
  <si>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</si>
  <si>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</si>
  <si>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</si>
  <si>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</si>
  <si>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</si>
  <si>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</si>
  <si>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</si>
  <si>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</si>
  <si>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</si>
  <si>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</si>
  <si>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</si>
  <si>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</si>
  <si>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</si>
  <si>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</si>
  <si>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</si>
  <si>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</si>
  <si>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</si>
  <si>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</si>
  <si>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</si>
  <si>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</si>
  <si>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</si>
  <si>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</si>
  <si>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</si>
  <si>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</si>
  <si>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</si>
  <si>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</si>
  <si>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</si>
  <si>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</si>
  <si>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</si>
  <si>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</si>
  <si>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</si>
  <si>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</si>
  <si>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</si>
  <si>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</si>
  <si>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</si>
  <si>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</si>
  <si>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</si>
  <si>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</si>
  <si>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</si>
  <si>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</si>
  <si>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</si>
  <si>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</si>
  <si>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</si>
  <si>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</si>
  <si>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</si>
  <si>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</si>
  <si>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</si>
  <si>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</si>
  <si>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</si>
  <si>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</si>
  <si>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</si>
  <si>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</si>
  <si>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</si>
  <si>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</si>
  <si>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</si>
  <si>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</si>
  <si>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</si>
  <si>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</si>
  <si>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</si>
  <si>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</si>
  <si>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</si>
  <si>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</si>
  <si>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</si>
  <si>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</si>
  <si>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</si>
  <si>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</si>
  <si>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</si>
  <si>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</si>
  <si>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</si>
  <si>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</si>
  <si>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</si>
  <si>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</si>
  <si>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</si>
  <si>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</si>
  <si>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</si>
  <si>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</si>
  <si>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</si>
  <si>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</si>
  <si>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</si>
  <si>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</si>
  <si>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</si>
  <si>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</si>
  <si>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</si>
  <si>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</si>
  <si>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</si>
  <si>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</si>
  <si>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</si>
  <si>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</si>
  <si>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</si>
  <si>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</si>
  <si>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</si>
  <si>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</si>
  <si>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</si>
  <si>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</si>
  <si>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</si>
  <si>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</si>
  <si>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</si>
  <si>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</si>
  <si>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</si>
  <si>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</si>
  <si>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</si>
  <si>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</si>
  <si>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</si>
  <si>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</si>
  <si>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</si>
  <si>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</si>
  <si>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</si>
  <si>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</si>
  <si>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</si>
  <si>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</si>
  <si>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</si>
  <si>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</si>
  <si>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</si>
  <si>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</si>
  <si>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</si>
  <si>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</si>
  <si>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</si>
  <si>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</si>
  <si>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</si>
  <si>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</si>
  <si>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</si>
  <si>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</si>
  <si>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</si>
  <si>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</si>
  <si>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</si>
  <si>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</si>
  <si>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</si>
  <si>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</si>
  <si>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</si>
  <si>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</si>
  <si>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</si>
  <si>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</si>
  <si>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</si>
  <si>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</si>
  <si>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</si>
  <si>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</si>
  <si>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</si>
  <si>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</si>
  <si>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</si>
  <si>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</si>
  <si>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</si>
  <si>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</si>
  <si>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</si>
  <si>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</si>
  <si>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</si>
  <si>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</si>
  <si>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</si>
  <si>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</si>
  <si>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</si>
  <si>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</si>
  <si>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</si>
  <si>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</si>
  <si>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</si>
  <si>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</si>
  <si>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</si>
  <si>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</si>
  <si>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</si>
  <si>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</si>
  <si>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</si>
  <si>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</si>
  <si>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</si>
  <si>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</si>
  <si>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</si>
  <si>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</si>
  <si>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</si>
  <si>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</si>
  <si>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</si>
  <si>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</si>
  <si>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</si>
  <si>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</si>
  <si>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</si>
  <si>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</si>
  <si>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</si>
  <si>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</si>
  <si>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</si>
  <si>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</si>
  <si>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</si>
  <si>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</si>
  <si>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</si>
  <si>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</si>
  <si>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</si>
  <si>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</si>
  <si>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</si>
  <si>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</si>
  <si>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</si>
  <si>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</si>
  <si>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</si>
  <si>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</si>
  <si>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</si>
  <si>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</si>
  <si>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</si>
  <si>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</si>
  <si>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</si>
  <si>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</si>
  <si>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</si>
  <si>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</si>
  <si>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</si>
  <si>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</si>
  <si>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</si>
  <si>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</si>
  <si>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</si>
  <si>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</si>
  <si>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</si>
  <si>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</si>
  <si>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</si>
  <si>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</si>
  <si>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</si>
  <si>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</si>
  <si>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</si>
  <si>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</si>
  <si>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</si>
  <si>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</si>
  <si>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</si>
  <si>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</si>
  <si>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</si>
  <si>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</si>
  <si>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</si>
  <si>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</si>
  <si>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</si>
  <si>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</si>
  <si>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</si>
  <si>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</si>
  <si>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</si>
  <si>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</si>
  <si>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</si>
  <si>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</si>
  <si>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</si>
  <si>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</si>
  <si>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</si>
  <si>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</si>
  <si>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</si>
  <si>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</si>
  <si>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</si>
  <si>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</si>
  <si>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</si>
  <si>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</si>
  <si>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</si>
  <si>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</si>
  <si>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</si>
  <si>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</si>
  <si>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</si>
  <si>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</si>
  <si>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</si>
  <si>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</si>
  <si>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</si>
  <si>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</si>
  <si>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</si>
  <si>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</si>
  <si>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</si>
  <si>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</si>
  <si>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</si>
  <si>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</si>
  <si>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</si>
  <si>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</si>
  <si>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</si>
  <si>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</si>
  <si>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</si>
  <si>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</si>
  <si>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</si>
  <si>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</si>
  <si>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</si>
  <si>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</si>
  <si>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</si>
  <si>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</si>
  <si>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</si>
  <si>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</si>
  <si>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</si>
  <si>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</si>
  <si>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</si>
  <si>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</si>
  <si>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</si>
  <si>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</si>
  <si>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</si>
  <si>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</si>
  <si>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</si>
  <si>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</si>
  <si>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</si>
  <si>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</si>
  <si>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</si>
  <si>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</si>
  <si>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</si>
  <si>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</si>
  <si>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</si>
  <si>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</si>
  <si>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</si>
  <si>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</si>
  <si>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</si>
  <si>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</si>
  <si>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</si>
  <si>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</si>
  <si>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</si>
  <si>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</si>
  <si>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</si>
  <si>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</si>
  <si>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</si>
  <si>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</si>
  <si>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</si>
  <si>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</si>
  <si>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</si>
  <si>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</si>
  <si>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</si>
  <si>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</si>
  <si>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</si>
  <si>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</si>
  <si>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</si>
  <si>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</si>
  <si>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</si>
  <si>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</si>
  <si>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</si>
  <si>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</si>
  <si>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</si>
  <si>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</si>
  <si>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</si>
  <si>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</si>
  <si>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</si>
  <si>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</si>
  <si>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</si>
  <si>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</si>
  <si>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</si>
  <si>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</si>
  <si>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</si>
  <si>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</si>
  <si>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</si>
  <si>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</si>
  <si>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</si>
  <si>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</si>
  <si>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</si>
  <si>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</si>
  <si>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</si>
  <si>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</si>
  <si>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</si>
  <si>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</si>
  <si>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</si>
  <si>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</si>
  <si>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</si>
  <si>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</si>
  <si>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</si>
  <si>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</si>
  <si>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</si>
  <si>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</si>
  <si>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</si>
  <si>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</si>
  <si>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</si>
  <si>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</si>
  <si>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</si>
  <si>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</si>
  <si>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</si>
  <si>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</si>
  <si>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</si>
  <si>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</si>
  <si>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</si>
  <si>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</si>
  <si>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</si>
  <si>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</si>
  <si>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</si>
  <si>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</si>
  <si>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</si>
  <si>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</si>
  <si>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</si>
  <si>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</si>
  <si>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</si>
  <si>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</si>
  <si>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</si>
  <si>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</si>
  <si>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</si>
  <si>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</si>
  <si>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</si>
  <si>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</si>
  <si>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</si>
  <si>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</si>
  <si>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</si>
  <si>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</si>
  <si>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</si>
  <si>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</si>
  <si>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</si>
  <si>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</si>
  <si>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</si>
  <si>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</si>
  <si>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</si>
  <si>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</si>
  <si>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</si>
  <si>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</si>
  <si>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</si>
  <si>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</si>
  <si>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</si>
  <si>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</si>
  <si>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</si>
  <si>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</si>
  <si>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</si>
  <si>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</si>
  <si>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</si>
  <si>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</si>
  <si>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</si>
  <si>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</si>
  <si>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</si>
  <si>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</si>
  <si>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</si>
  <si>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</si>
  <si>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</si>
  <si>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</si>
  <si>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</si>
  <si>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</si>
  <si>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</si>
  <si>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</si>
  <si>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</si>
  <si>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</si>
  <si>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</si>
  <si>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</si>
  <si>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</si>
  <si>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</si>
  <si>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</si>
  <si>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</si>
  <si>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</si>
  <si>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</si>
  <si>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</si>
  <si>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</si>
  <si>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</si>
  <si>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</si>
  <si>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</si>
  <si>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</si>
  <si>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</si>
  <si>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</si>
  <si>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</si>
  <si>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</si>
  <si>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</si>
  <si>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</si>
  <si>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</si>
  <si>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</si>
  <si>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</si>
  <si>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</si>
  <si>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</si>
  <si>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</si>
  <si>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</si>
  <si>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</si>
  <si>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</si>
  <si>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</si>
  <si>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</si>
  <si>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</si>
  <si>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</si>
  <si>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</si>
  <si>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</si>
  <si>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</si>
  <si>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</si>
  <si>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</si>
  <si>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</si>
  <si>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</si>
  <si>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</si>
  <si>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</si>
  <si>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</si>
  <si>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</si>
  <si>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</si>
  <si>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</si>
  <si>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</si>
  <si>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</si>
  <si>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</si>
  <si>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</si>
  <si>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</si>
  <si>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</si>
  <si>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</si>
  <si>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</si>
  <si>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</si>
  <si>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</si>
  <si>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</si>
  <si>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</si>
  <si>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</si>
  <si>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</si>
  <si>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</si>
  <si>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</si>
  <si>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</si>
  <si>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</si>
  <si>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</si>
  <si>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</si>
  <si>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</si>
  <si>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</si>
  <si>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</si>
  <si>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</si>
  <si>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</si>
  <si>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</si>
  <si>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</si>
  <si>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</si>
  <si>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</si>
  <si>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</si>
  <si>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</si>
  <si>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</si>
  <si>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</si>
  <si>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</si>
  <si>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</si>
  <si>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</si>
  <si>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</si>
  <si>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</si>
  <si>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</si>
  <si>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</si>
  <si>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</si>
  <si>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</si>
  <si>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</si>
  <si>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</si>
  <si>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</si>
  <si>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</si>
  <si>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</si>
  <si>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</si>
  <si>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</si>
  <si>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</si>
  <si>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</si>
  <si>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</si>
  <si>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</si>
  <si>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</si>
  <si>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</si>
  <si>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</si>
  <si>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</si>
  <si>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</si>
  <si>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</si>
  <si>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</si>
  <si>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</si>
  <si>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</si>
  <si>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</si>
  <si>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</si>
  <si>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</si>
  <si>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</si>
  <si>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</si>
  <si>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</si>
  <si>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</si>
  <si>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</si>
  <si>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</si>
  <si>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</si>
  <si>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</si>
  <si>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</si>
  <si>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</si>
  <si>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</si>
  <si>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</si>
  <si>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</si>
  <si>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</si>
  <si>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</si>
  <si>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</si>
  <si>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</si>
  <si>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</si>
  <si>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</si>
  <si>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</si>
  <si>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</si>
  <si>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</si>
  <si>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</si>
  <si>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</si>
  <si>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</si>
  <si>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</si>
  <si>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</si>
  <si>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</si>
  <si>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</si>
  <si>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</si>
  <si>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</si>
  <si>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</si>
  <si>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</si>
  <si>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</si>
  <si>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</si>
  <si>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</si>
  <si>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</si>
  <si>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</si>
  <si>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</si>
  <si>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</si>
  <si>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</si>
  <si>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</si>
  <si>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</si>
  <si>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</si>
  <si>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</si>
  <si>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</si>
  <si>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</si>
  <si>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</si>
  <si>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</si>
  <si>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</si>
  <si>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</si>
  <si>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</si>
  <si>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</si>
  <si>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</si>
  <si>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</si>
  <si>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</si>
  <si>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</si>
  <si>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</si>
  <si>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</si>
  <si>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</si>
  <si>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</si>
  <si>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</si>
  <si>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</si>
  <si>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</si>
  <si>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</si>
  <si>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</si>
  <si>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</si>
  <si>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</si>
  <si>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</si>
  <si>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</si>
  <si>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</si>
  <si>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</si>
  <si>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</si>
  <si>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</si>
  <si>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</si>
  <si>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</si>
  <si>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</si>
  <si>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</si>
  <si>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</si>
  <si>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</si>
  <si>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</si>
  <si>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</si>
  <si>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</si>
  <si>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</si>
  <si>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</si>
  <si>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</si>
  <si>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</si>
  <si>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</si>
  <si>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</si>
  <si>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</si>
  <si>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</si>
  <si>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</si>
  <si>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</si>
  <si>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</si>
  <si>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</si>
  <si>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</si>
  <si>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</si>
  <si>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</si>
  <si>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</si>
  <si>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</si>
  <si>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</si>
  <si>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</si>
  <si>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</si>
  <si>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</si>
  <si>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</si>
  <si>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</si>
  <si>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</si>
  <si>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</si>
  <si>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</si>
  <si>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</si>
  <si>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</si>
  <si>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</si>
  <si>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</si>
  <si>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</si>
  <si>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</si>
  <si>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</si>
  <si>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</si>
  <si>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</si>
  <si>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</si>
  <si>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</si>
  <si>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</si>
  <si>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</si>
  <si>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</si>
  <si>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</si>
  <si>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</si>
  <si>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</si>
  <si>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</si>
  <si>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</si>
  <si>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</si>
  <si>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</si>
  <si>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</si>
  <si>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</si>
  <si>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</si>
  <si>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</si>
  <si>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</si>
  <si>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</si>
  <si>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</si>
  <si>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</si>
  <si>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</si>
  <si>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</si>
  <si>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</si>
  <si>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</si>
  <si>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</si>
  <si>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</si>
  <si>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</si>
  <si>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</si>
  <si>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</si>
  <si>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</si>
  <si>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</si>
  <si>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</si>
  <si>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</si>
  <si>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</si>
  <si>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</si>
  <si>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</si>
  <si>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</si>
  <si>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</si>
  <si>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</si>
  <si>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</si>
  <si>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</si>
  <si>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</si>
  <si>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</si>
  <si>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</si>
  <si>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</si>
  <si>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</si>
  <si>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</si>
  <si>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</si>
  <si>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</si>
  <si>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</si>
  <si>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</si>
  <si>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</si>
  <si>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</si>
  <si>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</si>
  <si>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</si>
  <si>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</si>
  <si>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</si>
  <si>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</si>
  <si>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</si>
  <si>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</si>
  <si>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</si>
  <si>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</si>
  <si>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</si>
  <si>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</si>
  <si>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</si>
  <si>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</si>
  <si>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</si>
  <si>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</si>
  <si>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</si>
  <si>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</si>
  <si>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</si>
  <si>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</si>
  <si>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</si>
  <si>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</si>
  <si>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</si>
  <si>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</si>
  <si>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</si>
  <si>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</si>
  <si>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</si>
  <si>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</si>
  <si>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</si>
  <si>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</si>
  <si>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</si>
  <si>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</si>
  <si>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</si>
  <si>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</si>
  <si>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</si>
  <si>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</si>
  <si>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</si>
  <si>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</si>
  <si>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</si>
  <si>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</si>
  <si>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</si>
  <si>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</si>
  <si>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</si>
  <si>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</si>
  <si>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</si>
  <si>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</si>
  <si>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</si>
  <si>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</si>
  <si>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</si>
  <si>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</si>
  <si>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</si>
  <si>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</si>
  <si>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</si>
  <si>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</si>
  <si>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</si>
  <si>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</si>
  <si>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</si>
  <si>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</si>
  <si>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</si>
  <si>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</si>
  <si>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</si>
  <si>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</si>
  <si>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</si>
  <si>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</si>
  <si>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</si>
  <si>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</si>
  <si>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</si>
  <si>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</si>
  <si>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</si>
  <si>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</si>
  <si>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</si>
  <si>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</si>
  <si>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</si>
  <si>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</si>
  <si>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</si>
  <si>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</si>
  <si>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</si>
  <si>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</si>
  <si>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</si>
  <si>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</si>
  <si>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</si>
  <si>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</si>
  <si>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</si>
  <si>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</si>
  <si>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</si>
  <si>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</si>
  <si>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</si>
  <si>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</si>
  <si>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</si>
  <si>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</si>
  <si>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</si>
  <si>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</si>
  <si>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</si>
  <si>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</si>
  <si>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</si>
  <si>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</si>
  <si>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</si>
  <si>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</si>
  <si>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</si>
  <si>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</si>
  <si>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</si>
  <si>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</si>
  <si>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</si>
  <si>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</si>
  <si>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</si>
  <si>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</si>
  <si>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</si>
  <si>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</si>
  <si>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</si>
  <si>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</si>
  <si>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</si>
  <si>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</si>
  <si>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</si>
  <si>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</si>
  <si>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</si>
  <si>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</si>
  <si>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</si>
  <si>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</si>
  <si>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</si>
  <si>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</si>
  <si>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</si>
  <si>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</si>
  <si>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</si>
  <si>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</si>
  <si>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</si>
  <si>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</si>
  <si>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</si>
  <si>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</si>
  <si>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</si>
  <si>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</si>
  <si>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</si>
  <si>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</si>
  <si>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</si>
  <si>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</si>
  <si>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</si>
  <si>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</si>
  <si>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</si>
  <si>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</si>
  <si>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</si>
  <si>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</si>
  <si>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</si>
  <si>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</si>
  <si>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</si>
  <si>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</si>
  <si>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</si>
  <si>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</si>
  <si>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</si>
  <si>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</si>
  <si>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</si>
  <si>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</si>
  <si>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</si>
  <si>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</si>
  <si>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</si>
  <si>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</si>
  <si>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</si>
  <si>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</si>
  <si>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</si>
  <si>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</si>
  <si>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</si>
  <si>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</si>
  <si>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</si>
  <si>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</si>
  <si>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</si>
  <si>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</si>
  <si>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</si>
  <si>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</si>
  <si>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</si>
  <si>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</si>
  <si>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</si>
  <si>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</si>
  <si>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</si>
  <si>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</si>
  <si>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</si>
  <si>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</si>
  <si>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</si>
  <si>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</si>
  <si>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</si>
  <si>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</si>
  <si>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</si>
  <si>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</si>
  <si>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</si>
  <si>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</si>
  <si>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</si>
  <si>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</si>
  <si>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</si>
  <si>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</si>
  <si>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</si>
  <si>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</si>
  <si>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</si>
  <si>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</si>
  <si>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</si>
  <si>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</si>
  <si>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</si>
  <si>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</si>
  <si>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</si>
  <si>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</si>
  <si>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</si>
  <si>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</si>
  <si>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</si>
  <si>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</si>
  <si>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</si>
  <si>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</si>
  <si>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</si>
  <si>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</si>
  <si>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</si>
  <si>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</si>
  <si>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</si>
  <si>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</si>
  <si>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</si>
  <si>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</si>
  <si>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</si>
  <si>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</si>
  <si>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</si>
  <si>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</si>
  <si>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</si>
  <si>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</si>
  <si>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</si>
  <si>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</si>
  <si>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</si>
  <si>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</si>
  <si>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</si>
  <si>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</si>
  <si>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</si>
  <si>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</si>
  <si>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</si>
  <si>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</si>
  <si>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</si>
  <si>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</si>
  <si>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</si>
  <si>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</si>
  <si>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</si>
  <si>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</si>
  <si>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</si>
  <si>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</si>
  <si>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</si>
  <si>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</si>
  <si>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</si>
  <si>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</si>
  <si>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</si>
  <si>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</si>
  <si>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</si>
  <si>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</si>
  <si>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</si>
  <si>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</si>
  <si>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</si>
  <si>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</si>
  <si>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</si>
  <si>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</si>
  <si>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</si>
  <si>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</si>
  <si>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</si>
  <si>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</si>
  <si>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</si>
  <si>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</si>
  <si>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</si>
  <si>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</si>
  <si>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</si>
  <si>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</si>
  <si>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</si>
  <si>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</si>
  <si>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</si>
  <si>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</si>
  <si>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</si>
  <si>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</si>
  <si>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</si>
  <si>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</si>
  <si>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</si>
  <si>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</si>
  <si>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</si>
  <si>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</si>
  <si>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</si>
  <si>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</si>
  <si>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</si>
  <si>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</si>
  <si>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</si>
  <si>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</si>
  <si>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</si>
  <si>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</si>
  <si>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</si>
  <si>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</si>
  <si>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</si>
  <si>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</si>
  <si>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</si>
  <si>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</si>
  <si>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</si>
  <si>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</si>
  <si>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</si>
  <si>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</si>
  <si>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</si>
  <si>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</si>
  <si>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</si>
  <si>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</si>
  <si>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</si>
  <si>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</si>
  <si>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</si>
  <si>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</si>
  <si>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</si>
  <si>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</si>
  <si>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</si>
  <si>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</si>
  <si>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</si>
  <si>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</si>
  <si>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</si>
  <si>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</si>
  <si>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</si>
  <si>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</si>
  <si>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</si>
  <si>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</si>
  <si>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</si>
  <si>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</si>
  <si>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</si>
  <si>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</si>
  <si>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</si>
  <si>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</si>
  <si>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</si>
  <si>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</si>
  <si>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</si>
  <si>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</si>
  <si>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</si>
  <si>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</si>
  <si>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</si>
  <si>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</si>
  <si>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</si>
  <si>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</si>
  <si>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</si>
  <si>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</si>
  <si>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</si>
  <si>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</si>
  <si>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</si>
  <si>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</si>
  <si>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</si>
  <si>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</si>
  <si>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</si>
  <si>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</si>
  <si>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</si>
  <si>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</si>
  <si>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</si>
  <si>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</si>
  <si>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</si>
  <si>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</si>
  <si>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</si>
  <si>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</si>
  <si>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</si>
  <si>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</si>
  <si>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</si>
  <si>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</si>
  <si>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</si>
  <si>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</si>
  <si>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</si>
  <si>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</si>
  <si>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</si>
  <si>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</si>
  <si>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</si>
  <si>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</si>
  <si>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</si>
  <si>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</si>
  <si>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</si>
  <si>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</si>
  <si>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</si>
  <si>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</si>
  <si>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</si>
  <si>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</si>
  <si>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</si>
  <si>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</si>
  <si>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</si>
  <si>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</si>
  <si>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</si>
  <si>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</si>
  <si>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</si>
  <si>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</si>
  <si>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</si>
  <si>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</si>
  <si>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</si>
  <si>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</si>
  <si>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</si>
  <si>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Macromatic Industrical Controls, Inc</t>
  </si>
  <si>
    <t>2201 Corporate Dr  Waukesha, WI 53189</t>
  </si>
  <si>
    <t>Customer Service</t>
  </si>
  <si>
    <t>sales@macromatic.com</t>
  </si>
  <si>
    <t>800-238-7474</t>
  </si>
  <si>
    <t>Wade Nelson</t>
  </si>
  <si>
    <t>Materials &amp; Quality Control Manager</t>
  </si>
  <si>
    <t>https://www.macromatic.com/uploads/files/Macromatic-Conflict-Minerals-Declaration.pdf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</si>
</sst>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48" xfId="0" applyBorder="1" applyAlignment="1" applyProtection="1">
      <alignment horizontal="left" vertical="center" wrapText="1"/>
      <protection locked="0" hidden="1"/>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13621E03-34A2-4D7D-92C3-BE741B65EC3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acromatic.com/uploads/files/Macromatic-Conflict-Minerals-Declaration.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C4CFBF-4CA8-4404-BE62-0FF162ECFF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B57D44-48B8-45D5-88F5-9D483B477A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v>8002387474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46023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8:J8"/>
    <mergeCell ref="D18:J18"/>
    <mergeCell ref="D19:J19"/>
    <mergeCell ref="D17:J17"/>
    <mergeCell ref="D14:J14"/>
    <mergeCell ref="D15:J15"/>
    <mergeCell ref="D16:J16"/>
    <mergeCell ref="D20:J20"/>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A1:K1"/>
    <mergeCell ref="D2:J2"/>
    <mergeCell ref="B4:H4"/>
    <mergeCell ref="D10:J10"/>
    <mergeCell ref="D13:J13"/>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J77" r:id="rId3" display="https://www.macromatic.com/uploads/files/Macromatic-Conflict-Minerals-Declaration.pdf" xr:uid="{F66F58C3-80E3-4521-8FBA-49E3EA12B83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16" sqref="C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12879</v>
      </c>
      <c r="D5" s="230"/>
      <c r="E5" s="182" t="str">
        <f ca="1">IF(ISERROR($V5),"",OFFSET('Smelter Look-up'!$D$4,$V5-4,0)&amp;"")</f>
        <v>BELGIUM</v>
      </c>
      <c r="F5" s="399"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IF(C5="",NA(),IF(OR(C5="Smelter not listed",C5="Smelter not yet identified"),MATCH($B5&amp;$D5,'Smelter Look-up'!$J:$J,0),MATCH($B5&amp;$C5,'Smelter Look-up'!$J:$J,0)))</f>
        <v>474</v>
      </c>
      <c r="X5" s="227">
        <f t="shared" ref="X5" ca="1" si="0">IF(AND(C5="Smelter not listed",OR(LEN(D5)=0,LEN(E5)=0)),1,0)</f>
        <v>0</v>
      </c>
      <c r="AB5" s="228" t="str">
        <f t="shared" ref="AB5" si="1">B5&amp;C5</f>
        <v>TinMetallo Belgium N.V.</v>
      </c>
    </row>
    <row r="6" spans="1:34" s="227" customFormat="1" ht="20.100000000000001" customHeight="1">
      <c r="A6" s="262"/>
      <c r="B6" s="182" t="s">
        <v>1099</v>
      </c>
      <c r="C6" s="186" t="s">
        <v>1003</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 t="shared" ref="X6:X37" ca="1" si="3">IF(AND(C6="Smelter not listed",OR(LEN(D6)=0,LEN(E6)=0)),1,0)</f>
        <v>0</v>
      </c>
      <c r="AB6" s="228" t="str">
        <f t="shared" ref="AB6:AB37" si="4">B6&amp;C6</f>
        <v>TinMinsur</v>
      </c>
    </row>
    <row r="7" spans="1:34" s="227" customFormat="1" ht="20.100000000000001" customHeight="1">
      <c r="A7" s="262"/>
      <c r="B7" s="182" t="s">
        <v>1099</v>
      </c>
      <c r="C7" s="186" t="s">
        <v>793</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IF(C7="",NA(),IF(OR(C7="Smelter not listed",C7="Smelter not yet identified"),MATCH($B7&amp;$D7,'Smelter Look-up'!$J:$J,0),MATCH($B7&amp;$C7,'Smelter Look-up'!$J:$J,0)))</f>
        <v>468</v>
      </c>
      <c r="X7" s="227">
        <f t="shared" ca="1" si="3"/>
        <v>0</v>
      </c>
      <c r="AB7" s="228" t="str">
        <f t="shared" si="4"/>
        <v>TinMalaysia Smelting Corporation (MSC)</v>
      </c>
    </row>
    <row r="8" spans="1:34" s="227" customFormat="1" ht="20.100000000000001" customHeight="1">
      <c r="A8" s="262"/>
      <c r="B8" s="182" t="s">
        <v>1099</v>
      </c>
      <c r="C8" s="186" t="s">
        <v>1000</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521</v>
      </c>
      <c r="X8" s="227">
        <f t="shared" ca="1" si="3"/>
        <v>0</v>
      </c>
      <c r="AB8" s="228" t="str">
        <f t="shared" si="4"/>
        <v>TinThaisarco</v>
      </c>
    </row>
    <row r="9" spans="1:34" s="227" customFormat="1" ht="20.100000000000001" customHeight="1">
      <c r="A9" s="262"/>
      <c r="B9" s="182" t="s">
        <v>1099</v>
      </c>
      <c r="C9" s="186" t="s">
        <v>2093</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492</v>
      </c>
      <c r="X9" s="227">
        <f t="shared" ca="1" si="3"/>
        <v>0</v>
      </c>
      <c r="AB9" s="228" t="str">
        <f t="shared" si="4"/>
        <v>TinOMSA</v>
      </c>
    </row>
    <row r="10" spans="1:34" s="227" customFormat="1" ht="20.100000000000001" customHeight="1">
      <c r="A10" s="262"/>
      <c r="B10" s="182" t="s">
        <v>1099</v>
      </c>
      <c r="C10" s="186" t="s">
        <v>13713</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510</v>
      </c>
      <c r="X10" s="227">
        <f t="shared" ca="1" si="3"/>
        <v>0</v>
      </c>
      <c r="AB10" s="228" t="str">
        <f t="shared" si="4"/>
        <v>TinPT Timah Tbk Mentok</v>
      </c>
    </row>
    <row r="11" spans="1:34" s="227" customFormat="1" ht="20.100000000000001" customHeight="1">
      <c r="A11" s="262"/>
      <c r="B11" s="182" t="s">
        <v>1099</v>
      </c>
      <c r="C11" s="186" t="s">
        <v>2099</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443</v>
      </c>
      <c r="X11" s="227">
        <f t="shared" ca="1" si="3"/>
        <v>0</v>
      </c>
      <c r="AB11" s="228" t="str">
        <f t="shared" si="4"/>
        <v>TinGejiu Non-Ferrous Metal Processing Co., Ltd.</v>
      </c>
    </row>
    <row r="12" spans="1:34" s="227" customFormat="1" ht="20.100000000000001" customHeight="1">
      <c r="A12" s="262"/>
      <c r="B12" s="182" t="s">
        <v>1098</v>
      </c>
      <c r="C12" s="186" t="s">
        <v>1291</v>
      </c>
      <c r="D12" s="230"/>
      <c r="E12" s="182" t="str">
        <f ca="1">IF(ISERROR($V12),"",OFFSET('Smelter Look-up'!$D$4,$V12-4,0)&amp;"")</f>
        <v>CHINA</v>
      </c>
      <c r="F12" s="182" t="str">
        <f ca="1">IF(ISERROR($V12),"",OFFSET('Smelter Look-up'!$E$4,$V12-4,0))</f>
        <v>CID002224</v>
      </c>
      <c r="G12" s="182" t="str">
        <f ca="1">IF(C12=$X$4,IF(ISERROR($V12),"Enter smelter details","RMI"),IF(ISERROR($V12),"",OFFSET('Smelter Look-up'!$F$4,$V12-4,0)))</f>
        <v>RMI</v>
      </c>
      <c r="H12" s="183">
        <f ca="1">IF(ISERROR($V12),"",OFFSET('Smelter Look-up'!$G$4,$V12-4,0))</f>
        <v>0</v>
      </c>
      <c r="I12" s="184" t="str">
        <f ca="1">IF(ISERROR($V12),"",OFFSET('Smelter Look-up'!$H$4,$V12-4,0))</f>
        <v>Sanmenxia</v>
      </c>
      <c r="J12" s="184" t="str">
        <f ca="1">IF(ISERROR($V12),"",OFFSET('Smelter Look-up'!$I$4,$V12-4,0))</f>
        <v>Henan Sheng</v>
      </c>
      <c r="K12" s="224"/>
      <c r="L12" s="224"/>
      <c r="M12" s="224"/>
      <c r="N12" s="224"/>
      <c r="O12" s="224"/>
      <c r="P12" s="185"/>
      <c r="Q12" s="225"/>
      <c r="R12" s="182" t="str">
        <f ca="1">IF(ISERROR($V12),"",OFFSET('Smelter Look-up'!$C$4,$V12-4,0)&amp;"")</f>
        <v>Zhongyuan Gold Smelter of Zhongjin Gold Corporation</v>
      </c>
      <c r="S12" s="181" t="str">
        <f t="shared" ca="1" si="2"/>
        <v>CN</v>
      </c>
      <c r="T12" s="181" t="str">
        <f ca="1">IF(B12="","",IF(ISERROR(MATCH($J12,SorP!$B$1:$B$6226,0)),"",INDIRECT("'SorP'!$A$"&amp;MATCH($S12&amp;$J12,SorP!C:C,0))))</f>
        <v>CN-HA</v>
      </c>
      <c r="U12" s="201"/>
      <c r="V12" s="226">
        <f>IF(C12="",NA(),IF(OR(C12="Smelter not listed",C12="Smelter not yet identified"),MATCH($B12&amp;$D12,'Smelter Look-up'!$J:$J,0),MATCH($B12&amp;$C12,'Smelter Look-up'!$J:$J,0)))</f>
        <v>326</v>
      </c>
      <c r="X12" s="227">
        <f t="shared" ca="1" si="3"/>
        <v>0</v>
      </c>
      <c r="AB12" s="228" t="str">
        <f t="shared" si="4"/>
        <v>GoldZhongyuan Gold Smelter of Zhongjin Gold Corporation</v>
      </c>
    </row>
    <row r="13" spans="1:34" s="227" customFormat="1" ht="20.100000000000001" customHeight="1">
      <c r="A13" s="262"/>
      <c r="B13" s="182" t="s">
        <v>1098</v>
      </c>
      <c r="C13" s="186" t="s">
        <v>2257</v>
      </c>
      <c r="D13" s="230"/>
      <c r="E13" s="182" t="str">
        <f ca="1">IF(ISERROR($V13),"",OFFSET('Smelter Look-up'!$D$4,$V13-4,0)&amp;"")</f>
        <v>SWITZERLAND</v>
      </c>
      <c r="F13" s="182" t="str">
        <f ca="1">IF(ISERROR($V13),"",OFFSET('Smelter Look-up'!$E$4,$V13-4,0))</f>
        <v>CID001153</v>
      </c>
      <c r="G13" s="182" t="str">
        <f ca="1">IF(C13=$X$4,IF(ISERROR($V13),"Enter smelter details","RMI"),IF(ISERROR($V13),"",OFFSET('Smelter Look-up'!$F$4,$V13-4,0)))</f>
        <v>RMI</v>
      </c>
      <c r="H13" s="183">
        <f ca="1">IF(ISERROR($V13),"",OFFSET('Smelter Look-up'!$G$4,$V13-4,0))</f>
        <v>0</v>
      </c>
      <c r="I13" s="184" t="str">
        <f ca="1">IF(ISERROR($V13),"",OFFSET('Smelter Look-up'!$H$4,$V13-4,0))</f>
        <v>Marin</v>
      </c>
      <c r="J13" s="184" t="str">
        <f ca="1">IF(ISERROR($V13),"",OFFSET('Smelter Look-up'!$I$4,$V13-4,0))</f>
        <v>Neuchâtel</v>
      </c>
      <c r="K13" s="224"/>
      <c r="L13" s="224"/>
      <c r="M13" s="224"/>
      <c r="N13" s="224"/>
      <c r="O13" s="224"/>
      <c r="P13" s="185"/>
      <c r="Q13" s="225"/>
      <c r="R13" s="182" t="str">
        <f ca="1">IF(ISERROR($V13),"",OFFSET('Smelter Look-up'!$C$4,$V13-4,0)&amp;"")</f>
        <v>Metalor Technologies S.A.</v>
      </c>
      <c r="S13" s="181" t="str">
        <f t="shared" ca="1" si="2"/>
        <v>CH</v>
      </c>
      <c r="T13" s="181" t="str">
        <f ca="1">IF(B13="","",IF(ISERROR(MATCH($J13,SorP!$B$1:$B$6226,0)),"",INDIRECT("'SorP'!$A$"&amp;MATCH($S13&amp;$J13,SorP!C:C,0))))</f>
        <v>CH-NE</v>
      </c>
      <c r="U13" s="201"/>
      <c r="V13" s="226">
        <f>IF(C13="",NA(),IF(OR(C13="Smelter not listed",C13="Smelter not yet identified"),MATCH($B13&amp;$D13,'Smelter Look-up'!$J:$J,0),MATCH($B13&amp;$C13,'Smelter Look-up'!$J:$J,0)))</f>
        <v>181</v>
      </c>
      <c r="X13" s="227">
        <f t="shared" ca="1" si="3"/>
        <v>0</v>
      </c>
      <c r="AB13" s="228" t="str">
        <f t="shared" si="4"/>
        <v>GoldMetalor Technologies S.A.</v>
      </c>
    </row>
    <row r="14" spans="1:34" s="227" customFormat="1" ht="20.100000000000001" customHeight="1">
      <c r="A14" s="262"/>
      <c r="B14" s="182" t="s">
        <v>1098</v>
      </c>
      <c r="C14" s="186" t="s">
        <v>2265</v>
      </c>
      <c r="D14" s="230"/>
      <c r="E14" s="182" t="str">
        <f ca="1">IF(ISERROR($V14),"",OFFSET('Smelter Look-up'!$D$4,$V14-4,0)&amp;"")</f>
        <v>SWITZERLAND</v>
      </c>
      <c r="F14" s="182" t="str">
        <f ca="1">IF(ISERROR($V14),"",OFFSET('Smelter Look-up'!$E$4,$V14-4,0))</f>
        <v>CID001352</v>
      </c>
      <c r="G14" s="182" t="str">
        <f ca="1">IF(C14=$X$4,IF(ISERROR($V14),"Enter smelter details","RMI"),IF(ISERROR($V14),"",OFFSET('Smelter Look-up'!$F$4,$V14-4,0)))</f>
        <v>RMI</v>
      </c>
      <c r="H14" s="183">
        <f ca="1">IF(ISERROR($V14),"",OFFSET('Smelter Look-up'!$G$4,$V14-4,0))</f>
        <v>0</v>
      </c>
      <c r="I14" s="184" t="str">
        <f ca="1">IF(ISERROR($V14),"",OFFSET('Smelter Look-up'!$H$4,$V14-4,0))</f>
        <v>Geneva</v>
      </c>
      <c r="J14" s="184" t="str">
        <f ca="1">IF(ISERROR($V14),"",OFFSET('Smelter Look-up'!$I$4,$V14-4,0))</f>
        <v>Genève</v>
      </c>
      <c r="K14" s="224"/>
      <c r="L14" s="224"/>
      <c r="M14" s="224"/>
      <c r="N14" s="224"/>
      <c r="O14" s="224"/>
      <c r="P14" s="185"/>
      <c r="Q14" s="225"/>
      <c r="R14" s="182" t="str">
        <f ca="1">IF(ISERROR($V14),"",OFFSET('Smelter Look-up'!$C$4,$V14-4,0)&amp;"")</f>
        <v>MKS PAMP SA</v>
      </c>
      <c r="S14" s="181" t="str">
        <f t="shared" ca="1" si="2"/>
        <v>CH</v>
      </c>
      <c r="T14" s="181" t="str">
        <f ca="1">IF(B14="","",IF(ISERROR(MATCH($J14,SorP!$B$1:$B$6226,0)),"",INDIRECT("'SorP'!$A$"&amp;MATCH($S14&amp;$J14,SorP!C:C,0))))</f>
        <v>CH-GE</v>
      </c>
      <c r="U14" s="201"/>
      <c r="V14" s="226">
        <f>IF(C14="",NA(),IF(OR(C14="Smelter not listed",C14="Smelter not yet identified"),MATCH($B14&amp;$D14,'Smelter Look-up'!$J:$J,0),MATCH($B14&amp;$C14,'Smelter Look-up'!$J:$J,0)))</f>
        <v>211</v>
      </c>
      <c r="X14" s="227">
        <f t="shared" ca="1" si="3"/>
        <v>0</v>
      </c>
      <c r="AB14" s="228" t="str">
        <f t="shared" si="4"/>
        <v>GoldPAMP S.A.</v>
      </c>
    </row>
    <row r="15" spans="1:34" s="227" customFormat="1" ht="20.100000000000001" customHeight="1">
      <c r="A15" s="262"/>
      <c r="B15" s="182" t="s">
        <v>1098</v>
      </c>
      <c r="C15" s="186" t="s">
        <v>2285</v>
      </c>
      <c r="D15" s="230"/>
      <c r="E15" s="182" t="str">
        <f ca="1">IF(ISERROR($V15),"",OFFSET('Smelter Look-up'!$D$4,$V15-4,0)&amp;"")</f>
        <v>SWITZERLAND</v>
      </c>
      <c r="F15" s="182" t="str">
        <f ca="1">IF(ISERROR($V15),"",OFFSET('Smelter Look-up'!$E$4,$V15-4,0))</f>
        <v>CID002003</v>
      </c>
      <c r="G15" s="182" t="str">
        <f ca="1">IF(C15=$X$4,IF(ISERROR($V15),"Enter smelter details","RMI"),IF(ISERROR($V15),"",OFFSET('Smelter Look-up'!$F$4,$V15-4,0)))</f>
        <v>RMI</v>
      </c>
      <c r="H15" s="183">
        <f ca="1">IF(ISERROR($V15),"",OFFSET('Smelter Look-up'!$G$4,$V15-4,0))</f>
        <v>0</v>
      </c>
      <c r="I15" s="184" t="str">
        <f ca="1">IF(ISERROR($V15),"",OFFSET('Smelter Look-up'!$H$4,$V15-4,0))</f>
        <v>Balerna</v>
      </c>
      <c r="J15" s="184" t="str">
        <f ca="1">IF(ISERROR($V15),"",OFFSET('Smelter Look-up'!$I$4,$V15-4,0))</f>
        <v>Ticino</v>
      </c>
      <c r="K15" s="224"/>
      <c r="L15" s="224"/>
      <c r="M15" s="224"/>
      <c r="N15" s="224"/>
      <c r="O15" s="224"/>
      <c r="P15" s="185"/>
      <c r="Q15" s="225"/>
      <c r="R15" s="182" t="str">
        <f ca="1">IF(ISERROR($V15),"",OFFSET('Smelter Look-up'!$C$4,$V15-4,0)&amp;"")</f>
        <v>Valcambi S.A.</v>
      </c>
      <c r="S15" s="181" t="str">
        <f t="shared" ca="1" si="2"/>
        <v>CH</v>
      </c>
      <c r="T15" s="181" t="str">
        <f ca="1">IF(B15="","",IF(ISERROR(MATCH($J15,SorP!$B$1:$B$6226,0)),"",INDIRECT("'SorP'!$A$"&amp;MATCH($S15&amp;$J15,SorP!C:C,0))))</f>
        <v>CH-TI</v>
      </c>
      <c r="U15" s="201"/>
      <c r="V15" s="226">
        <f>IF(C15="",NA(),IF(OR(C15="Smelter not listed",C15="Smelter not yet identified"),MATCH($B15&amp;$D15,'Smelter Look-up'!$J:$J,0),MATCH($B15&amp;$C15,'Smelter Look-up'!$J:$J,0)))</f>
        <v>304</v>
      </c>
      <c r="X15" s="227">
        <f t="shared" ca="1" si="3"/>
        <v>0</v>
      </c>
      <c r="AB15" s="228" t="str">
        <f t="shared" si="4"/>
        <v>GoldValcambi S.A.</v>
      </c>
    </row>
    <row r="16" spans="1:34" s="227" customFormat="1" ht="20.100000000000001" customHeight="1">
      <c r="A16" s="262"/>
      <c r="B16" s="182" t="s">
        <v>1098</v>
      </c>
      <c r="C16" s="186" t="s">
        <v>2112</v>
      </c>
      <c r="D16" s="230"/>
      <c r="E16" s="182" t="str">
        <f ca="1">IF(ISERROR($V16),"",OFFSET('Smelter Look-up'!$D$4,$V16-4,0)&amp;"")</f>
        <v>SOUTH AFRICA</v>
      </c>
      <c r="F16" s="182" t="str">
        <f ca="1">IF(ISERROR($V16),"",OFFSET('Smelter Look-up'!$E$4,$V16-4,0))</f>
        <v>CID001512</v>
      </c>
      <c r="G16" s="182" t="str">
        <f ca="1">IF(C16=$X$4,IF(ISERROR($V16),"Enter smelter details","RMI"),IF(ISERROR($V16),"",OFFSET('Smelter Look-up'!$F$4,$V16-4,0)))</f>
        <v>RMI</v>
      </c>
      <c r="H16" s="183">
        <f ca="1">IF(ISERROR($V16),"",OFFSET('Smelter Look-up'!$G$4,$V16-4,0))</f>
        <v>0</v>
      </c>
      <c r="I16" s="184" t="str">
        <f ca="1">IF(ISERROR($V16),"",OFFSET('Smelter Look-up'!$H$4,$V16-4,0))</f>
        <v>Germiston</v>
      </c>
      <c r="J16" s="184" t="str">
        <f ca="1">IF(ISERROR($V16),"",OFFSET('Smelter Look-up'!$I$4,$V16-4,0))</f>
        <v>Gauteng</v>
      </c>
      <c r="K16" s="224"/>
      <c r="L16" s="224"/>
      <c r="M16" s="224"/>
      <c r="N16" s="224"/>
      <c r="O16" s="224"/>
      <c r="P16" s="185"/>
      <c r="Q16" s="225"/>
      <c r="R16" s="182" t="str">
        <f ca="1">IF(ISERROR($V16),"",OFFSET('Smelter Look-up'!$C$4,$V16-4,0)&amp;"")</f>
        <v>Rand Refinery (Pty) Ltd.</v>
      </c>
      <c r="S16" s="181" t="str">
        <f t="shared" ca="1" si="2"/>
        <v>ZA</v>
      </c>
      <c r="T16" s="181" t="str">
        <f ca="1">IF(B16="","",IF(ISERROR(MATCH($J16,SorP!$B$1:$B$6226,0)),"",INDIRECT("'SorP'!$A$"&amp;MATCH($S16&amp;$J16,SorP!C:C,0))))</f>
        <v>ZA-GP</v>
      </c>
      <c r="U16" s="201"/>
      <c r="V16" s="226">
        <f>IF(C16="",NA(),IF(OR(C16="Smelter not listed",C16="Smelter not yet identified"),MATCH($B16&amp;$D16,'Smelter Look-up'!$J:$J,0),MATCH($B16&amp;$C16,'Smelter Look-up'!$J:$J,0)))</f>
        <v>224</v>
      </c>
      <c r="X16" s="227">
        <f t="shared" ca="1" si="3"/>
        <v>0</v>
      </c>
      <c r="AB16" s="228" t="str">
        <f t="shared" si="4"/>
        <v>GoldRand Refinery (Pty) Ltd.</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FFE046-6360-4390-81FB-40C46899BAB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Macromatic Industrical Controls,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Service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sales@macromatic.com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800-238-7474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Wade Nelson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sales@macromatic.com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https://www.macromatic.com/uploads/files/Macromatic-Conflict-Minerals-Declaration.pdf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Wade Nelson</cp:lastModifiedBy>
  <cp:lastPrinted>2015-04-21T20:47:43Z</cp:lastPrinted>
  <dcterms:created xsi:type="dcterms:W3CDTF">2010-06-21T21:00:23Z</dcterms:created>
  <dcterms:modified xsi:type="dcterms:W3CDTF">2026-02-16T19:32:32Z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